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90" tabRatio="884" firstSheet="31" activeTab="37"/>
  </bookViews>
  <sheets>
    <sheet name="1)人工成本" sheetId="1" r:id="rId1"/>
    <sheet name="2)人力资源成本预算表" sheetId="2" r:id="rId2"/>
    <sheet name="3)人员情况表" sheetId="3" r:id="rId3"/>
    <sheet name="4)自建地产及经营性投资项目预算表" sheetId="4" r:id="rId4"/>
    <sheet name="5)自建代建项目开发成本预算表（年）" sheetId="5" r:id="rId5"/>
    <sheet name="6)固定资产及无形资产预算表 " sheetId="6" r:id="rId6"/>
    <sheet name="7)筹资预算表" sheetId="7" r:id="rId7"/>
    <sheet name="8)权益性投资预算表" sheetId="8" r:id="rId8"/>
    <sheet name="9)资产处置预算表" sheetId="9" r:id="rId9"/>
    <sheet name="10)并购项目预算明细表" sheetId="10" r:id="rId10"/>
    <sheet name="11)合作项目预算表" sheetId="11" r:id="rId11"/>
    <sheet name="12)车辆预算明细表" sheetId="12" r:id="rId12"/>
    <sheet name="13)主营业务收支预算表" sheetId="13" r:id="rId13"/>
    <sheet name="13-1)生产成本预算表（汇总） " sheetId="14" r:id="rId14"/>
    <sheet name="13-1)生产成本预算表（322亩南瓜）" sheetId="15" r:id="rId15"/>
    <sheet name="13-1)生产成本预算表（3亩地瓜）" sheetId="16" r:id="rId16"/>
    <sheet name="13-1)生产成本预算表（3亩圣女果)" sheetId="17" r:id="rId17"/>
    <sheet name="13-1)生产成本预算表（55亩大棚) " sheetId="18" r:id="rId18"/>
    <sheet name="13-1)生产成本预算表（25亩鱼塘)" sheetId="19" r:id="rId19"/>
    <sheet name="13-1)生产成本预算表（138亩椰子)" sheetId="20" r:id="rId20"/>
    <sheet name="13-1)生产成本预算表（17亩菠萝)" sheetId="21" r:id="rId21"/>
    <sheet name="13-1)生产成本预算表（50亩南瓜)" sheetId="22" r:id="rId22"/>
    <sheet name="13-1)生产成本预算表（咸水鸭)" sheetId="23" r:id="rId23"/>
    <sheet name="13-2)营业成本预算表（汇总）" sheetId="24" r:id="rId24"/>
    <sheet name="13-2)营业成本预算表（三江居环境卫生)" sheetId="25" r:id="rId25"/>
    <sheet name="13-2)营业成本预算表（公车服务项目)" sheetId="26" r:id="rId26"/>
    <sheet name="13-2)营业成本预算表（农场后勤服务)" sheetId="27" r:id="rId27"/>
    <sheet name="13-2)营业成本预算表（综合培训基地)" sheetId="28" r:id="rId28"/>
    <sheet name="13-2)营业成本预算表（消防服务项目)" sheetId="29" r:id="rId29"/>
    <sheet name="14)其他业务收支预算表" sheetId="30" r:id="rId30"/>
    <sheet name="15)营业外收支预算表" sheetId="31" r:id="rId31"/>
    <sheet name="16)税金预算表" sheetId="32" r:id="rId32"/>
    <sheet name="17)销售（经营）费用预算表" sheetId="33" r:id="rId33"/>
    <sheet name="18)管理费用预算表" sheetId="34" r:id="rId34"/>
    <sheet name="19)财务费用预算表" sheetId="35" r:id="rId35"/>
    <sheet name="20)资产负债预算表（一）" sheetId="36" r:id="rId36"/>
    <sheet name="21)资产负债预算表（二）" sheetId="37" r:id="rId37"/>
    <sheet name="22)利润预算表" sheetId="38" r:id="rId38"/>
    <sheet name="23)利润分配预算表" sheetId="39" r:id="rId39"/>
    <sheet name="24)资金预算表总表" sheetId="40" r:id="rId40"/>
    <sheet name="25)经营活动现金流量预算" sheetId="41" r:id="rId41"/>
    <sheet name="26)投资活动现金流量预算" sheetId="42" r:id="rId42"/>
    <sheet name="27)筹资活动现金流量预算" sheetId="43" r:id="rId43"/>
  </sheets>
  <externalReferences>
    <externalReference r:id="rId46"/>
    <externalReference r:id="rId47"/>
    <externalReference r:id="rId48"/>
    <externalReference r:id="rId49"/>
    <externalReference r:id="rId50"/>
  </externalReferences>
  <definedNames>
    <definedName name="Print_Area_MI">#REF!</definedName>
    <definedName name="_xlnm.Print_Titles">#N/A</definedName>
    <definedName name="啊啊啊">#REF!</definedName>
    <definedName name="饿">#REF!</definedName>
    <definedName name="行政办">#REF!</definedName>
    <definedName name="核算项目明细账">#REF!</definedName>
    <definedName name="汇率">#REF!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协警">#REF!</definedName>
    <definedName name="주택사업본부">#REF!</definedName>
    <definedName name="철구사업본부">#REF!</definedName>
    <definedName name="Print_Area_MI" localSheetId="0">#REF!</definedName>
    <definedName name="啊啊啊" localSheetId="0">#REF!</definedName>
    <definedName name="饿" localSheetId="0">#REF!</definedName>
    <definedName name="行政办" localSheetId="0">#REF!</definedName>
    <definedName name="核算项目明细账" localSheetId="0">#REF!</definedName>
    <definedName name="汇率" localSheetId="0">#REF!</definedName>
    <definedName name="生产列1" localSheetId="0">#REF!</definedName>
    <definedName name="生产列11" localSheetId="0">#REF!</definedName>
    <definedName name="生产列15" localSheetId="0">#REF!</definedName>
    <definedName name="生产列16" localSheetId="0">#REF!</definedName>
    <definedName name="生产列17" localSheetId="0">#REF!</definedName>
    <definedName name="生产列19" localSheetId="0">#REF!</definedName>
    <definedName name="生产列2" localSheetId="0">#REF!</definedName>
    <definedName name="生产列20" localSheetId="0">#REF!</definedName>
    <definedName name="生产列3" localSheetId="0">#REF!</definedName>
    <definedName name="生产列4" localSheetId="0">#REF!</definedName>
    <definedName name="生产列5" localSheetId="0">#REF!</definedName>
    <definedName name="生产列6" localSheetId="0">#REF!</definedName>
    <definedName name="生产列7" localSheetId="0">#REF!</definedName>
    <definedName name="生产列8" localSheetId="0">#REF!</definedName>
    <definedName name="生产列9" localSheetId="0">#REF!</definedName>
    <definedName name="生产期" localSheetId="0">#REF!</definedName>
    <definedName name="生产期1" localSheetId="0">#REF!</definedName>
    <definedName name="生产期11" localSheetId="0">#REF!</definedName>
    <definedName name="生产期15" localSheetId="0">#REF!</definedName>
    <definedName name="生产期16" localSheetId="0">#REF!</definedName>
    <definedName name="生产期17" localSheetId="0">#REF!</definedName>
    <definedName name="生产期19" localSheetId="0">#REF!</definedName>
    <definedName name="生产期2" localSheetId="0">#REF!</definedName>
    <definedName name="生产期20" localSheetId="0">#REF!</definedName>
    <definedName name="生产期3" localSheetId="0">#REF!</definedName>
    <definedName name="生产期4" localSheetId="0">#REF!</definedName>
    <definedName name="生产期5" localSheetId="0">#REF!</definedName>
    <definedName name="生产期6" localSheetId="0">#REF!</definedName>
    <definedName name="生产期7" localSheetId="0">#REF!</definedName>
    <definedName name="生产期8" localSheetId="0">#REF!</definedName>
    <definedName name="生产期9" localSheetId="0">#REF!</definedName>
    <definedName name="协警" localSheetId="0">#REF!</definedName>
    <definedName name="주택사업본부" localSheetId="0">#REF!</definedName>
    <definedName name="철구사업본부" localSheetId="0">#REF!</definedName>
    <definedName name="_xlfn.SUMIFS" hidden="1">#NAME?</definedName>
    <definedName name="_xlnm._FilterDatabase" localSheetId="0" hidden="1">'1)人工成本'!$AI$1:$AI$248</definedName>
  </definedNames>
  <calcPr fullCalcOnLoad="1"/>
</workbook>
</file>

<file path=xl/comments1.xml><?xml version="1.0" encoding="utf-8"?>
<comments xmlns="http://schemas.openxmlformats.org/spreadsheetml/2006/main">
  <authors>
    <author>Administrator</author>
    <author>文国梅</author>
  </authors>
  <commentList>
    <comment ref="L3" authorId="0">
      <text>
        <r>
          <rPr>
            <b/>
            <sz val="9"/>
            <rFont val="宋体"/>
            <family val="0"/>
          </rPr>
          <t>Administrator:</t>
        </r>
        <r>
          <rPr>
            <sz val="9"/>
            <rFont val="宋体"/>
            <family val="0"/>
          </rPr>
          <t xml:space="preserve">
2021年个人月平均工资</t>
        </r>
      </text>
    </comment>
    <comment ref="M5" authorId="1">
      <text>
        <r>
          <rPr>
            <b/>
            <sz val="9"/>
            <rFont val="宋体"/>
            <family val="0"/>
          </rPr>
          <t>文国梅:</t>
        </r>
        <r>
          <rPr>
            <sz val="9"/>
            <rFont val="宋体"/>
            <family val="0"/>
          </rPr>
          <t xml:space="preserve">
养老4396.9*1.06%=4660.7</t>
        </r>
      </text>
    </comment>
    <comment ref="N5" authorId="1">
      <text>
        <r>
          <rPr>
            <b/>
            <sz val="9"/>
            <rFont val="宋体"/>
            <family val="0"/>
          </rPr>
          <t>文国梅:</t>
        </r>
        <r>
          <rPr>
            <sz val="9"/>
            <rFont val="宋体"/>
            <family val="0"/>
          </rPr>
          <t xml:space="preserve">
医保基数4491.6*1.06=4761.1</t>
        </r>
      </text>
    </comment>
  </commentList>
</comments>
</file>

<file path=xl/comments11.xml><?xml version="1.0" encoding="utf-8"?>
<comments xmlns="http://schemas.openxmlformats.org/spreadsheetml/2006/main">
  <authors>
    <author/>
  </authors>
  <commentList>
    <comment ref="A8" authorId="0">
      <text>
        <r>
          <rPr>
            <sz val="9"/>
            <rFont val="宋体"/>
            <family val="0"/>
          </rPr>
          <t xml:space="preserve">&lt;?xml version="1.0" encoding="GB2312"?&gt;
&lt;!DOCTYPE properties SYSTEM "http://java.sun.com/dtd/properties.dtd"&gt;
&lt;properties&gt;
&lt;comment/&gt;
&lt;entry key="varLineInfo"&gt;0,105&lt;/entry&gt;
&lt;entry key="classTypeID"&gt;nc.tb.excel.pub.BreakPoint&lt;/entry&gt;
&lt;entry key="nextSection"&gt;fixedline&lt;/entry&gt;
&lt;/properties&gt;
</t>
        </r>
      </text>
    </comment>
  </commentList>
</comments>
</file>

<file path=xl/comments15.xml><?xml version="1.0" encoding="utf-8"?>
<comments xmlns="http://schemas.openxmlformats.org/spreadsheetml/2006/main">
  <authors>
    <author>Administrator</author>
  </authors>
  <commentList>
    <comment ref="H26" authorId="0">
      <text>
        <r>
          <rPr>
            <sz val="9"/>
            <rFont val="宋体"/>
            <family val="0"/>
          </rPr>
          <t xml:space="preserve">打药、清园及不可预估10%
</t>
        </r>
      </text>
    </comment>
    <comment ref="H31" authorId="0">
      <text>
        <r>
          <rPr>
            <sz val="9"/>
            <rFont val="宋体"/>
            <family val="0"/>
          </rPr>
          <t>不可预估10%</t>
        </r>
      </text>
    </comment>
    <comment ref="K42" authorId="0">
      <text>
        <r>
          <rPr>
            <sz val="9"/>
            <rFont val="宋体"/>
            <family val="0"/>
          </rPr>
          <t xml:space="preserve">地膜、滴灌管、育苗盘及不可预估10%
</t>
        </r>
      </text>
    </comment>
  </commentList>
</comments>
</file>

<file path=xl/comments16.xml><?xml version="1.0" encoding="utf-8"?>
<comments xmlns="http://schemas.openxmlformats.org/spreadsheetml/2006/main">
  <authors>
    <author>Administrator</author>
  </authors>
  <commentList>
    <comment ref="H26" authorId="0">
      <text>
        <r>
          <rPr>
            <sz val="9"/>
            <rFont val="宋体"/>
            <family val="0"/>
          </rPr>
          <t>采收、清园</t>
        </r>
      </text>
    </comment>
    <comment ref="K31" authorId="0">
      <text>
        <r>
          <rPr>
            <sz val="9"/>
            <rFont val="宋体"/>
            <family val="0"/>
          </rPr>
          <t>不可预估10%</t>
        </r>
      </text>
    </comment>
    <comment ref="K42" authorId="0">
      <text>
        <r>
          <rPr>
            <b/>
            <sz val="9"/>
            <rFont val="宋体"/>
            <family val="0"/>
          </rPr>
          <t>Administrator:</t>
        </r>
        <r>
          <rPr>
            <sz val="9"/>
            <rFont val="宋体"/>
            <family val="0"/>
          </rPr>
          <t xml:space="preserve">
机耕</t>
        </r>
      </text>
    </comment>
  </commentList>
</comments>
</file>

<file path=xl/comments17.xml><?xml version="1.0" encoding="utf-8"?>
<comments xmlns="http://schemas.openxmlformats.org/spreadsheetml/2006/main">
  <authors>
    <author>Administrator</author>
  </authors>
  <commentList>
    <comment ref="H26" authorId="0">
      <text>
        <r>
          <rPr>
            <sz val="9"/>
            <rFont val="宋体"/>
            <family val="0"/>
          </rPr>
          <t>追肥、打药、清园、采收及不可预估10%</t>
        </r>
      </text>
    </comment>
    <comment ref="K31" authorId="0">
      <text>
        <r>
          <rPr>
            <sz val="9"/>
            <rFont val="宋体"/>
            <family val="0"/>
          </rPr>
          <t xml:space="preserve">地膜、滴灌管、竹子及不可预估10%
</t>
        </r>
      </text>
    </comment>
  </commentList>
</comments>
</file>

<file path=xl/comments18.xml><?xml version="1.0" encoding="utf-8"?>
<comments xmlns="http://schemas.openxmlformats.org/spreadsheetml/2006/main">
  <authors>
    <author>Administrator</author>
  </authors>
  <commentList>
    <comment ref="I31" authorId="0">
      <text>
        <r>
          <rPr>
            <sz val="9"/>
            <rFont val="宋体"/>
            <family val="0"/>
          </rPr>
          <t xml:space="preserve">不可预估10%
</t>
        </r>
      </text>
    </comment>
    <comment ref="J31" authorId="0">
      <text>
        <r>
          <rPr>
            <sz val="9"/>
            <rFont val="宋体"/>
            <family val="0"/>
          </rPr>
          <t xml:space="preserve">不可预估10%
</t>
        </r>
      </text>
    </comment>
    <comment ref="I42" authorId="0">
      <text>
        <r>
          <rPr>
            <sz val="9"/>
            <rFont val="宋体"/>
            <family val="0"/>
          </rPr>
          <t xml:space="preserve">机耕
</t>
        </r>
      </text>
    </comment>
    <comment ref="J42" authorId="0">
      <text>
        <r>
          <rPr>
            <sz val="9"/>
            <rFont val="宋体"/>
            <family val="0"/>
          </rPr>
          <t xml:space="preserve">机耕
</t>
        </r>
      </text>
    </comment>
  </commentList>
</comments>
</file>

<file path=xl/comments19.xml><?xml version="1.0" encoding="utf-8"?>
<comments xmlns="http://schemas.openxmlformats.org/spreadsheetml/2006/main">
  <authors>
    <author>Administrator</author>
  </authors>
  <commentList>
    <comment ref="J28" authorId="0">
      <text>
        <r>
          <rPr>
            <sz val="9"/>
            <rFont val="宋体"/>
            <family val="0"/>
          </rPr>
          <t>鱼苗</t>
        </r>
      </text>
    </comment>
    <comment ref="J29" authorId="0">
      <text>
        <r>
          <rPr>
            <sz val="9"/>
            <rFont val="宋体"/>
            <family val="0"/>
          </rPr>
          <t xml:space="preserve">鱼料
</t>
        </r>
      </text>
    </comment>
    <comment ref="K29" authorId="0">
      <text>
        <r>
          <rPr>
            <sz val="9"/>
            <rFont val="宋体"/>
            <family val="0"/>
          </rPr>
          <t xml:space="preserve">鱼料
</t>
        </r>
      </text>
    </comment>
    <comment ref="J30" authorId="0">
      <text>
        <r>
          <rPr>
            <sz val="9"/>
            <rFont val="宋体"/>
            <family val="0"/>
          </rPr>
          <t>鱼药</t>
        </r>
      </text>
    </comment>
    <comment ref="K30" authorId="0">
      <text>
        <r>
          <rPr>
            <sz val="9"/>
            <rFont val="宋体"/>
            <family val="0"/>
          </rPr>
          <t>鱼药</t>
        </r>
      </text>
    </comment>
  </commentList>
</comments>
</file>

<file path=xl/comments2.xml><?xml version="1.0" encoding="utf-8"?>
<comments xmlns="http://schemas.openxmlformats.org/spreadsheetml/2006/main">
  <authors>
    <author>凌亚娟</author>
  </authors>
  <commentList>
    <comment ref="E52" authorId="0">
      <text>
        <r>
          <rPr>
            <b/>
            <sz val="9"/>
            <rFont val="宋体"/>
            <family val="0"/>
          </rPr>
          <t>凌亚娟:</t>
        </r>
        <r>
          <rPr>
            <sz val="9"/>
            <rFont val="宋体"/>
            <family val="0"/>
          </rPr>
          <t xml:space="preserve">
包括基础工资、绩效工资、工龄、职称、特殊岗位
</t>
        </r>
      </text>
    </comment>
  </commentList>
</comments>
</file>

<file path=xl/comments20.xml><?xml version="1.0" encoding="utf-8"?>
<comments xmlns="http://schemas.openxmlformats.org/spreadsheetml/2006/main">
  <authors>
    <author>未知</author>
  </authors>
  <commentList>
    <comment ref="E47" authorId="0">
      <text>
        <r>
          <rPr>
            <sz val="9"/>
            <rFont val="宋体"/>
            <family val="0"/>
          </rPr>
          <t>包含生产管理人员成本</t>
        </r>
      </text>
    </comment>
  </commentList>
</comments>
</file>

<file path=xl/comments21.xml><?xml version="1.0" encoding="utf-8"?>
<comments xmlns="http://schemas.openxmlformats.org/spreadsheetml/2006/main">
  <authors>
    <author>Administrator</author>
  </authors>
  <commentList>
    <comment ref="H26" authorId="0">
      <text>
        <r>
          <rPr>
            <sz val="9"/>
            <rFont val="宋体"/>
            <family val="0"/>
          </rPr>
          <t>套袋用工</t>
        </r>
      </text>
    </comment>
    <comment ref="I26" authorId="0">
      <text>
        <r>
          <rPr>
            <sz val="9"/>
            <rFont val="宋体"/>
            <family val="0"/>
          </rPr>
          <t xml:space="preserve">采收人工
</t>
        </r>
      </text>
    </comment>
    <comment ref="H31" authorId="0">
      <text>
        <r>
          <rPr>
            <sz val="9"/>
            <rFont val="宋体"/>
            <family val="0"/>
          </rPr>
          <t>菠萝套袋</t>
        </r>
      </text>
    </comment>
  </commentList>
</comments>
</file>

<file path=xl/comments22.xml><?xml version="1.0" encoding="utf-8"?>
<comments xmlns="http://schemas.openxmlformats.org/spreadsheetml/2006/main">
  <authors>
    <author>Administrator</author>
  </authors>
  <commentList>
    <comment ref="H26" authorId="0">
      <text>
        <r>
          <rPr>
            <sz val="9"/>
            <rFont val="宋体"/>
            <family val="0"/>
          </rPr>
          <t xml:space="preserve">追肥、打药、清园及不可预估10%
</t>
        </r>
      </text>
    </comment>
    <comment ref="H31" authorId="0">
      <text>
        <r>
          <rPr>
            <sz val="9"/>
            <rFont val="宋体"/>
            <family val="0"/>
          </rPr>
          <t>不可预估10%</t>
        </r>
      </text>
    </comment>
  </commentList>
</comments>
</file>

<file path=xl/comments36.xml><?xml version="1.0" encoding="utf-8"?>
<comments xmlns="http://schemas.openxmlformats.org/spreadsheetml/2006/main">
  <authors>
    <author>Administrator</author>
  </authors>
  <commentList>
    <comment ref="E25" authorId="0">
      <text>
        <r>
          <rPr>
            <b/>
            <sz val="9"/>
            <rFont val="宋体"/>
            <family val="0"/>
          </rPr>
          <t>Administrator:</t>
        </r>
        <r>
          <rPr>
            <sz val="9"/>
            <rFont val="宋体"/>
            <family val="0"/>
          </rPr>
          <t xml:space="preserve">
10215.55(10-12)</t>
        </r>
      </text>
    </comment>
    <comment ref="E37" authorId="0">
      <text>
        <r>
          <rPr>
            <b/>
            <sz val="9"/>
            <rFont val="宋体"/>
            <family val="0"/>
          </rPr>
          <t>Administrator:</t>
        </r>
        <r>
          <rPr>
            <sz val="9"/>
            <rFont val="宋体"/>
            <family val="0"/>
          </rPr>
          <t xml:space="preserve">
3504.35(10-12)</t>
        </r>
      </text>
    </comment>
    <comment ref="C25" authorId="0">
      <text>
        <r>
          <rPr>
            <b/>
            <sz val="9"/>
            <rFont val="宋体"/>
            <family val="0"/>
          </rPr>
          <t>Administrator:</t>
        </r>
        <r>
          <rPr>
            <sz val="9"/>
            <rFont val="宋体"/>
            <family val="0"/>
          </rPr>
          <t xml:space="preserve">
10215.55(10-12)</t>
        </r>
      </text>
    </comment>
    <comment ref="C37" authorId="0">
      <text>
        <r>
          <rPr>
            <b/>
            <sz val="9"/>
            <rFont val="宋体"/>
            <family val="0"/>
          </rPr>
          <t>Administrator:</t>
        </r>
        <r>
          <rPr>
            <sz val="9"/>
            <rFont val="宋体"/>
            <family val="0"/>
          </rPr>
          <t xml:space="preserve">
3504.35(10-12)</t>
        </r>
      </text>
    </comment>
  </commentList>
</comments>
</file>

<file path=xl/comments4.xml><?xml version="1.0" encoding="utf-8"?>
<comments xmlns="http://schemas.openxmlformats.org/spreadsheetml/2006/main">
  <authors>
    <author/>
  </authors>
  <commentList>
    <comment ref="A16" authorId="0">
      <text>
        <r>
          <rPr>
            <sz val="9"/>
            <rFont val="宋体"/>
            <family val="0"/>
          </rPr>
          <t xml:space="preserve">&lt;?xml version="1.0" encoding="GB2312"?&gt;
&lt;!DOCTYPE properties SYSTEM "http://java.sun.com/dtd/properties.dtd"&gt;
&lt;properties&gt;
&lt;comment/&gt;
&lt;entry key="varLineInfo"&gt;0,105&lt;/entry&gt;
&lt;entry key="classTypeID"&gt;nc.tb.excel.pub.BreakPoint&lt;/entry&gt;
&lt;entry key="nextSection"&gt;fixedline&lt;/entry&gt;
&lt;/properties&gt;
</t>
        </r>
      </text>
    </comment>
  </commentList>
</comments>
</file>

<file path=xl/sharedStrings.xml><?xml version="1.0" encoding="utf-8"?>
<sst xmlns="http://schemas.openxmlformats.org/spreadsheetml/2006/main" count="4297" uniqueCount="1165">
  <si>
    <t>海口市三江农场发展控股有限公司人工成本测算表（2023年）</t>
  </si>
  <si>
    <t>单位：元</t>
  </si>
  <si>
    <t>序号</t>
  </si>
  <si>
    <t>部门</t>
  </si>
  <si>
    <t>姓名</t>
  </si>
  <si>
    <t>职务</t>
  </si>
  <si>
    <t>岗位工资</t>
  </si>
  <si>
    <t>津贴/福利</t>
  </si>
  <si>
    <t>应发工资</t>
  </si>
  <si>
    <t>缴费基数</t>
  </si>
  <si>
    <t>月度五险一金</t>
  </si>
  <si>
    <t>工会经费（2%）</t>
  </si>
  <si>
    <t>职工教育经费（1.5%）</t>
  </si>
  <si>
    <t>月度奖励性绩效</t>
  </si>
  <si>
    <t>月成本合计</t>
  </si>
  <si>
    <t>年度奖励性绩效</t>
  </si>
  <si>
    <t>全年成本</t>
  </si>
  <si>
    <t>人员类别</t>
  </si>
  <si>
    <t>工龄</t>
  </si>
  <si>
    <t>职称/岗位</t>
  </si>
  <si>
    <t>子女/通讯</t>
  </si>
  <si>
    <t>伙食费</t>
  </si>
  <si>
    <t>高温补助</t>
  </si>
  <si>
    <t>养老保险（16%）</t>
  </si>
  <si>
    <t>医疗保险（8.5%）</t>
  </si>
  <si>
    <t>失业保险（0.5%）</t>
  </si>
  <si>
    <t>工伤保险（0.28%）</t>
  </si>
  <si>
    <t>生育保险（0.0%）</t>
  </si>
  <si>
    <t>住房公积金（12%）</t>
  </si>
  <si>
    <t>养老(8%)</t>
  </si>
  <si>
    <t>医疗（2%)</t>
  </si>
  <si>
    <t>失业(0.5%)</t>
  </si>
  <si>
    <t>月单位社保补差</t>
  </si>
  <si>
    <t>备注</t>
  </si>
  <si>
    <t>场领导</t>
  </si>
  <si>
    <t>周经业</t>
  </si>
  <si>
    <t>总经理</t>
  </si>
  <si>
    <t>中</t>
  </si>
  <si>
    <t>高层</t>
  </si>
  <si>
    <t>中层</t>
  </si>
  <si>
    <t>新增人员7名</t>
  </si>
  <si>
    <t>洪理庄</t>
  </si>
  <si>
    <t>副总经理</t>
  </si>
  <si>
    <t>卓忠勇</t>
  </si>
  <si>
    <t>纪委书记</t>
  </si>
  <si>
    <t>领导层</t>
  </si>
  <si>
    <t>党委办</t>
  </si>
  <si>
    <t>符致森</t>
  </si>
  <si>
    <t>主任</t>
  </si>
  <si>
    <t>国土部</t>
  </si>
  <si>
    <t>黄闻山</t>
  </si>
  <si>
    <t>支部书记</t>
  </si>
  <si>
    <t>符永妙</t>
  </si>
  <si>
    <t>主管</t>
  </si>
  <si>
    <t>职员</t>
  </si>
  <si>
    <t>行政办</t>
  </si>
  <si>
    <t>柯明</t>
  </si>
  <si>
    <t>9月退休</t>
  </si>
  <si>
    <t>邢福丰</t>
  </si>
  <si>
    <t>何小娜</t>
  </si>
  <si>
    <t>何启鹏</t>
  </si>
  <si>
    <t>提拔</t>
  </si>
  <si>
    <t>副主任</t>
  </si>
  <si>
    <t>第三季度招聘</t>
  </si>
  <si>
    <t>党委会办公室</t>
  </si>
  <si>
    <t>王菲菲</t>
  </si>
  <si>
    <t>陈明慧</t>
  </si>
  <si>
    <t>陈帆</t>
  </si>
  <si>
    <t>陈文鹏</t>
  </si>
  <si>
    <t>谢伟亮</t>
  </si>
  <si>
    <t>黄芊芊</t>
  </si>
  <si>
    <t>预计提1名主管</t>
  </si>
  <si>
    <t xml:space="preserve">第二季度招聘 </t>
  </si>
  <si>
    <t>董事会办公室</t>
  </si>
  <si>
    <t>周安顺</t>
  </si>
  <si>
    <t>纪检部</t>
  </si>
  <si>
    <t>王小娜</t>
  </si>
  <si>
    <t>卢文扬</t>
  </si>
  <si>
    <t>何彩娜</t>
  </si>
  <si>
    <t xml:space="preserve"> </t>
  </si>
  <si>
    <t>纪检监察室</t>
  </si>
  <si>
    <t>严小冬</t>
  </si>
  <si>
    <t>经理</t>
  </si>
  <si>
    <t>苏河</t>
  </si>
  <si>
    <t>副经理</t>
  </si>
  <si>
    <t>刘桐</t>
  </si>
  <si>
    <t>李一星</t>
  </si>
  <si>
    <t>高荣壮</t>
  </si>
  <si>
    <t>王清清</t>
  </si>
  <si>
    <t>第二季度招聘</t>
  </si>
  <si>
    <t>新增</t>
  </si>
  <si>
    <t>投资发展部</t>
  </si>
  <si>
    <t>经管部</t>
  </si>
  <si>
    <t>韩雷</t>
  </si>
  <si>
    <t>助理、经理</t>
  </si>
  <si>
    <t>何奋</t>
  </si>
  <si>
    <t>吴多江</t>
  </si>
  <si>
    <t>工会</t>
  </si>
  <si>
    <t>黄宏超</t>
  </si>
  <si>
    <t>韩小丽</t>
  </si>
  <si>
    <t>李丹丹</t>
  </si>
  <si>
    <t>陈军</t>
  </si>
  <si>
    <t>郑庆新</t>
  </si>
  <si>
    <t>吴挺宝</t>
  </si>
  <si>
    <t>王运才</t>
  </si>
  <si>
    <t>陈明庆</t>
  </si>
  <si>
    <t>王俊美</t>
  </si>
  <si>
    <t>高阳煊</t>
  </si>
  <si>
    <t>预计提一名主管</t>
  </si>
  <si>
    <t>资产管理部</t>
  </si>
  <si>
    <t>财务部</t>
  </si>
  <si>
    <t>文国梅</t>
  </si>
  <si>
    <t>张梦</t>
  </si>
  <si>
    <t>张曼玲</t>
  </si>
  <si>
    <t>吴钦雄</t>
  </si>
  <si>
    <t>黄莉</t>
  </si>
  <si>
    <t>财务管理部</t>
  </si>
  <si>
    <t>符浩</t>
  </si>
  <si>
    <t>杜元娟</t>
  </si>
  <si>
    <t>张鹏</t>
  </si>
  <si>
    <t>吴飞</t>
  </si>
  <si>
    <t>审计部</t>
  </si>
  <si>
    <t>人力部</t>
  </si>
  <si>
    <t>符剑</t>
  </si>
  <si>
    <t>吴多兵</t>
  </si>
  <si>
    <t>李丹阳</t>
  </si>
  <si>
    <t>凌亚娟</t>
  </si>
  <si>
    <t>人力资源部</t>
  </si>
  <si>
    <t>小计 53 人</t>
  </si>
  <si>
    <t>黄远蓬</t>
  </si>
  <si>
    <t>柳世光</t>
  </si>
  <si>
    <t>书记</t>
  </si>
  <si>
    <t>王锦</t>
  </si>
  <si>
    <t>副总</t>
  </si>
  <si>
    <t>丁国鑫</t>
  </si>
  <si>
    <t>部门副经理</t>
  </si>
  <si>
    <t>苏庆伟</t>
  </si>
  <si>
    <t>黄兹飞</t>
  </si>
  <si>
    <t>王连杰</t>
  </si>
  <si>
    <t>周经福</t>
  </si>
  <si>
    <t>周柏</t>
  </si>
  <si>
    <t>周添秀</t>
  </si>
  <si>
    <t>农业公司</t>
  </si>
  <si>
    <t>陈传发</t>
  </si>
  <si>
    <t>陈玉魁</t>
  </si>
  <si>
    <t>吴红姗</t>
  </si>
  <si>
    <t>宋名胜</t>
  </si>
  <si>
    <t>黄奕兴</t>
  </si>
  <si>
    <t>文秘</t>
  </si>
  <si>
    <t>梁振伦</t>
  </si>
  <si>
    <t>出纳</t>
  </si>
  <si>
    <t>欧福峰</t>
  </si>
  <si>
    <t>吴坤天</t>
  </si>
  <si>
    <t>队长</t>
  </si>
  <si>
    <t>李布兴</t>
  </si>
  <si>
    <t>保安</t>
  </si>
  <si>
    <t>黄兹彬</t>
  </si>
  <si>
    <t>韦珍甫</t>
  </si>
  <si>
    <t>8月份退休</t>
  </si>
  <si>
    <t>陈连芳</t>
  </si>
  <si>
    <t>工勤</t>
  </si>
  <si>
    <t>何瑞林</t>
  </si>
  <si>
    <t>场部司机</t>
  </si>
  <si>
    <t>莫志亮</t>
  </si>
  <si>
    <t>陈雷</t>
  </si>
  <si>
    <t>张林</t>
  </si>
  <si>
    <t>卢辉基</t>
  </si>
  <si>
    <t>陈文彪</t>
  </si>
  <si>
    <t>5月份退休</t>
  </si>
  <si>
    <t>黄世贵</t>
  </si>
  <si>
    <t>王照明</t>
  </si>
  <si>
    <t>吴颜</t>
  </si>
  <si>
    <t>打字员</t>
  </si>
  <si>
    <t>林鸿武</t>
  </si>
  <si>
    <t>电工</t>
  </si>
  <si>
    <t>戴丽</t>
  </si>
  <si>
    <t>清洁工</t>
  </si>
  <si>
    <t>杨柳</t>
  </si>
  <si>
    <t>会务员</t>
  </si>
  <si>
    <t>聘请人员</t>
  </si>
  <si>
    <t>吴妚荣</t>
  </si>
  <si>
    <t>食堂</t>
  </si>
  <si>
    <t>谢丽荣</t>
  </si>
  <si>
    <t>张黑弟</t>
  </si>
  <si>
    <t>返聘</t>
  </si>
  <si>
    <t>返聘人员</t>
  </si>
  <si>
    <t>黄波</t>
  </si>
  <si>
    <t>水工</t>
  </si>
  <si>
    <t>王英江</t>
  </si>
  <si>
    <t>部门经理</t>
  </si>
  <si>
    <t>云永耀</t>
  </si>
  <si>
    <t>管理员</t>
  </si>
  <si>
    <t>姚芝慧</t>
  </si>
  <si>
    <t>仓库管理员</t>
  </si>
  <si>
    <t>吴忠</t>
  </si>
  <si>
    <t>黄奕忠</t>
  </si>
  <si>
    <t>范平邦</t>
  </si>
  <si>
    <t>林志强</t>
  </si>
  <si>
    <t>文国杨</t>
  </si>
  <si>
    <t>韩福定</t>
  </si>
  <si>
    <t>曾弟</t>
  </si>
  <si>
    <t>司机</t>
  </si>
  <si>
    <t>林志敬</t>
  </si>
  <si>
    <t>吴清山</t>
  </si>
  <si>
    <t>魏仕文</t>
  </si>
  <si>
    <t>李大震</t>
  </si>
  <si>
    <t>王示</t>
  </si>
  <si>
    <t>廖少连</t>
  </si>
  <si>
    <t>9月份退休</t>
  </si>
  <si>
    <t>张曼</t>
  </si>
  <si>
    <t>苏娃玲</t>
  </si>
  <si>
    <t>12月份退休</t>
  </si>
  <si>
    <t>林柳</t>
  </si>
  <si>
    <t>10月份退休</t>
  </si>
  <si>
    <t>蒙敏</t>
  </si>
  <si>
    <t>环卫工</t>
  </si>
  <si>
    <t>王拾荣</t>
  </si>
  <si>
    <t>王月兰</t>
  </si>
  <si>
    <t>陈文斌</t>
  </si>
  <si>
    <t>邓小丹</t>
  </si>
  <si>
    <t>保洁员</t>
  </si>
  <si>
    <t>陈金屏</t>
  </si>
  <si>
    <t>陈淑娟</t>
  </si>
  <si>
    <t>陈瑜</t>
  </si>
  <si>
    <t>陈芳</t>
  </si>
  <si>
    <t>陈金丽</t>
  </si>
  <si>
    <t>陈小凤</t>
  </si>
  <si>
    <t>方欣</t>
  </si>
  <si>
    <t>陈春慧</t>
  </si>
  <si>
    <t>林兰</t>
  </si>
  <si>
    <t>凌冬梅</t>
  </si>
  <si>
    <t>陈玉英</t>
  </si>
  <si>
    <t>周雪梅</t>
  </si>
  <si>
    <t>欧燕南</t>
  </si>
  <si>
    <t>杜世金</t>
  </si>
  <si>
    <t>林英花</t>
  </si>
  <si>
    <t>王海华</t>
  </si>
  <si>
    <t>黄少芳</t>
  </si>
  <si>
    <t>施春媛</t>
  </si>
  <si>
    <t>黄玉玲</t>
  </si>
  <si>
    <t>林菊玲</t>
  </si>
  <si>
    <t>杨秀兰</t>
  </si>
  <si>
    <t>蔡春霞</t>
  </si>
  <si>
    <t>曾春霞</t>
  </si>
  <si>
    <t>欧微壮</t>
  </si>
  <si>
    <t>苏定韧</t>
  </si>
  <si>
    <t>洪彬</t>
  </si>
  <si>
    <t>帮厨</t>
  </si>
  <si>
    <t>聘请人员1</t>
  </si>
  <si>
    <t>3月份到期</t>
  </si>
  <si>
    <t>陈美</t>
  </si>
  <si>
    <t>后厨服务</t>
  </si>
  <si>
    <t>蒙春燕</t>
  </si>
  <si>
    <t>吴漫玉</t>
  </si>
  <si>
    <t>陈亚姬</t>
  </si>
  <si>
    <t>陈艳</t>
  </si>
  <si>
    <t>物业公司</t>
  </si>
  <si>
    <t>合      计</t>
  </si>
  <si>
    <t>全年补差</t>
  </si>
  <si>
    <t>岗位津贴</t>
  </si>
  <si>
    <t>职工人数</t>
  </si>
  <si>
    <t>工资总额不含年终绩效</t>
  </si>
  <si>
    <t>工资总额含年终绩效</t>
  </si>
  <si>
    <t>职工平均年工资</t>
  </si>
  <si>
    <t>基本年薪=核定的上年度市属国有企业在岗职工年平均工资×企业规模系数×2.5×分配系数</t>
  </si>
  <si>
    <t>企业规模系数</t>
  </si>
  <si>
    <t>基本年薪倍数</t>
  </si>
  <si>
    <t>分配系数</t>
  </si>
  <si>
    <t>基本年薪/万元(按6.3万元基数)</t>
  </si>
  <si>
    <t>绩效年薪=基本年薪×年度经营业绩考核评价系数×绩效年薪调节系数</t>
  </si>
  <si>
    <t>评价系数</t>
  </si>
  <si>
    <t>调节系数</t>
  </si>
  <si>
    <t>绩效年薪</t>
  </si>
  <si>
    <t>基本年薪/万元(按7.05万元基数)</t>
  </si>
  <si>
    <t>任期激励收入计算公式为：任期激励收入=（任期内基本年薪和绩效年薪总水平）×任期考核评价系数</t>
  </si>
  <si>
    <t>任期内基本年薪和绩效年薪总水平</t>
  </si>
  <si>
    <t>任期考核评价系数</t>
  </si>
  <si>
    <t>任期激励收入</t>
  </si>
  <si>
    <t>基本年薪</t>
  </si>
  <si>
    <t>任期激励收入15%</t>
  </si>
  <si>
    <t>合计</t>
  </si>
  <si>
    <t>50人</t>
  </si>
  <si>
    <t>56人</t>
  </si>
  <si>
    <t>领导</t>
  </si>
  <si>
    <t>备注：（一）新增7名员工。预计在第二季度招聘投资1名副经理，审计1名副经理，财务1名副经理，资产2名职员，董办1名职员；第三季度招聘党办1名信访专员。
（二）提拔 
预计在第一季度进行提拔工作，人力、纪检、审计、董办、资产五个部门预计各提1名主管。
（三）退休
2022年9月张海花退休，12月林海、唐学退休。</t>
  </si>
  <si>
    <t xml:space="preserve">职员 </t>
  </si>
  <si>
    <t>人力资源成本预算表</t>
  </si>
  <si>
    <t>编制单位：海口市三江农场发展控股有限公司</t>
  </si>
  <si>
    <t>2023年度</t>
  </si>
  <si>
    <t>季度</t>
  </si>
  <si>
    <t>项目</t>
  </si>
  <si>
    <t>上年数（2022年）</t>
  </si>
  <si>
    <t>预算年度</t>
  </si>
  <si>
    <t>增长率</t>
  </si>
  <si>
    <t>全年预算数</t>
  </si>
  <si>
    <t>1-9月执行数</t>
  </si>
  <si>
    <t>10-12月预测数</t>
  </si>
  <si>
    <t>人均(元、人)</t>
  </si>
  <si>
    <t>全年预测数</t>
  </si>
  <si>
    <t>执行率</t>
  </si>
  <si>
    <t>总额</t>
  </si>
  <si>
    <t>工资</t>
  </si>
  <si>
    <t>职工福利</t>
  </si>
  <si>
    <t>社保</t>
  </si>
  <si>
    <t>住房公积金</t>
  </si>
  <si>
    <t>工会经费</t>
  </si>
  <si>
    <t>职工教育经费</t>
  </si>
  <si>
    <t>其他</t>
  </si>
  <si>
    <t>工资小计</t>
  </si>
  <si>
    <t>基础工资</t>
  </si>
  <si>
    <t>基础绩效</t>
  </si>
  <si>
    <t>季度绩效</t>
  </si>
  <si>
    <t>年度绩效</t>
  </si>
  <si>
    <t>加值班补助</t>
  </si>
  <si>
    <t>年合计</t>
  </si>
  <si>
    <t>人力成本</t>
  </si>
  <si>
    <t xml:space="preserve">    在岗职工(148人）</t>
  </si>
  <si>
    <t xml:space="preserve">       领导层（3人）</t>
  </si>
  <si>
    <t xml:space="preserve">       中层管理人员（24人）</t>
  </si>
  <si>
    <t xml:space="preserve">       一般管理人员（85人）</t>
  </si>
  <si>
    <t xml:space="preserve">       聘请人员（35人）</t>
  </si>
  <si>
    <t xml:space="preserve">       返聘人员（1人）</t>
  </si>
  <si>
    <r>
      <t xml:space="preserve">       临时人员（</t>
    </r>
    <r>
      <rPr>
        <sz val="8.85"/>
        <rFont val="宋体"/>
        <family val="0"/>
      </rPr>
      <t xml:space="preserve">  </t>
    </r>
    <r>
      <rPr>
        <sz val="8.85"/>
        <rFont val="宋体"/>
        <family val="0"/>
      </rPr>
      <t>人）</t>
    </r>
  </si>
  <si>
    <r>
      <t xml:space="preserve">    不在岗职工（</t>
    </r>
    <r>
      <rPr>
        <sz val="8.85"/>
        <rFont val="宋体"/>
        <family val="0"/>
      </rPr>
      <t xml:space="preserve">  人）</t>
    </r>
  </si>
  <si>
    <t>1季度</t>
  </si>
  <si>
    <t xml:space="preserve">    在岗职工(53人）</t>
  </si>
  <si>
    <t>油补、通讯</t>
  </si>
  <si>
    <r>
      <t xml:space="preserve">       中层管理人员（</t>
    </r>
    <r>
      <rPr>
        <sz val="8.85"/>
        <rFont val="宋体"/>
        <family val="0"/>
      </rPr>
      <t>11</t>
    </r>
    <r>
      <rPr>
        <sz val="8.85"/>
        <rFont val="宋体"/>
        <family val="0"/>
      </rPr>
      <t>人）</t>
    </r>
  </si>
  <si>
    <t xml:space="preserve">       一般管理人员（39人）</t>
  </si>
  <si>
    <t xml:space="preserve">       聘请人员（  人）</t>
  </si>
  <si>
    <t xml:space="preserve">       返聘人员（  人）</t>
  </si>
  <si>
    <t>2季度</t>
  </si>
  <si>
    <t xml:space="preserve">       领导层（4人）</t>
  </si>
  <si>
    <t>员工体检</t>
  </si>
  <si>
    <t>3季度</t>
  </si>
  <si>
    <t>领导体检</t>
  </si>
  <si>
    <t>4季度</t>
  </si>
  <si>
    <t xml:space="preserve">    在岗职工(49人）</t>
  </si>
  <si>
    <t xml:space="preserve">       中层管理人员（14人）</t>
  </si>
  <si>
    <t xml:space="preserve">       一般管理人员（32人）</t>
  </si>
  <si>
    <t>编制人：吴钦雄</t>
  </si>
  <si>
    <t>审核：文国梅</t>
  </si>
  <si>
    <t>月工资</t>
  </si>
  <si>
    <t>4季度工资</t>
  </si>
  <si>
    <t>高温</t>
  </si>
  <si>
    <t>单位负担社保</t>
  </si>
  <si>
    <t>差额</t>
  </si>
  <si>
    <t>单位公积金</t>
  </si>
  <si>
    <t>2020年四季度人力成本预测</t>
  </si>
  <si>
    <r>
      <t xml:space="preserve">       </t>
    </r>
    <r>
      <rPr>
        <sz val="10"/>
        <rFont val="宋体"/>
        <family val="0"/>
      </rPr>
      <t>领导层</t>
    </r>
    <r>
      <rPr>
        <sz val="10"/>
        <rFont val="Arial"/>
        <family val="2"/>
      </rPr>
      <t>4</t>
    </r>
    <r>
      <rPr>
        <sz val="10"/>
        <rFont val="宋体"/>
        <family val="0"/>
      </rPr>
      <t>人</t>
    </r>
  </si>
  <si>
    <r>
      <t xml:space="preserve">       </t>
    </r>
    <r>
      <rPr>
        <sz val="10"/>
        <rFont val="宋体"/>
        <family val="0"/>
      </rPr>
      <t>中层</t>
    </r>
    <r>
      <rPr>
        <sz val="10"/>
        <rFont val="Arial"/>
        <family val="2"/>
      </rPr>
      <t>11</t>
    </r>
    <r>
      <rPr>
        <sz val="10"/>
        <rFont val="宋体"/>
        <family val="0"/>
      </rPr>
      <t>人</t>
    </r>
  </si>
  <si>
    <t xml:space="preserve">       一般管理人员（35人）</t>
  </si>
  <si>
    <t>一般</t>
  </si>
  <si>
    <r>
      <t>一般</t>
    </r>
    <r>
      <rPr>
        <sz val="10"/>
        <rFont val="Arial"/>
        <family val="2"/>
      </rPr>
      <t>35</t>
    </r>
    <r>
      <rPr>
        <sz val="10"/>
        <rFont val="宋体"/>
        <family val="0"/>
      </rPr>
      <t>人</t>
    </r>
  </si>
  <si>
    <r>
      <t>2021</t>
    </r>
    <r>
      <rPr>
        <sz val="10"/>
        <rFont val="宋体"/>
        <family val="0"/>
      </rPr>
      <t>年人力成本预测（新方案）</t>
    </r>
  </si>
  <si>
    <t>1季度基础工资</t>
  </si>
  <si>
    <t>工龄、职称、岗位</t>
  </si>
  <si>
    <t>午餐</t>
  </si>
  <si>
    <r>
      <t>一般</t>
    </r>
    <r>
      <rPr>
        <sz val="10"/>
        <rFont val="Arial"/>
        <family val="2"/>
      </rPr>
      <t>38</t>
    </r>
    <r>
      <rPr>
        <sz val="10"/>
        <rFont val="宋体"/>
        <family val="0"/>
      </rPr>
      <t>人</t>
    </r>
  </si>
  <si>
    <t>2季度基础工资</t>
  </si>
  <si>
    <t>体检费</t>
  </si>
  <si>
    <t>3季度基础工资</t>
  </si>
  <si>
    <t>4季度基础工资</t>
  </si>
  <si>
    <t>人员情况表</t>
  </si>
  <si>
    <t>编制单位:海口市三江农场发展控股有限公司</t>
  </si>
  <si>
    <t>单位：人</t>
  </si>
  <si>
    <t>上年数</t>
  </si>
  <si>
    <t>编制人数</t>
  </si>
  <si>
    <t>实际人数</t>
  </si>
  <si>
    <t>发放工资人数</t>
  </si>
  <si>
    <t>社保缴费人数</t>
  </si>
  <si>
    <t>人数合计</t>
  </si>
  <si>
    <t xml:space="preserve">    在岗职工</t>
  </si>
  <si>
    <t xml:space="preserve">       领导层</t>
  </si>
  <si>
    <t xml:space="preserve">       中层管理人员</t>
  </si>
  <si>
    <t xml:space="preserve">       一般管理人员</t>
  </si>
  <si>
    <t xml:space="preserve">       聘请人员</t>
  </si>
  <si>
    <t xml:space="preserve">       返聘人员</t>
  </si>
  <si>
    <t xml:space="preserve">       临时人员</t>
  </si>
  <si>
    <t xml:space="preserve">    不在岗职工</t>
  </si>
  <si>
    <t>审核人：文国梅</t>
  </si>
  <si>
    <t>自建项目及经营性投资项目预算表</t>
  </si>
  <si>
    <t>自建地产及经营性投资项目预算表</t>
  </si>
  <si>
    <t>项目类型</t>
  </si>
  <si>
    <t>资金来源</t>
  </si>
  <si>
    <t>开工日期</t>
  </si>
  <si>
    <t>项目总概算</t>
  </si>
  <si>
    <t>累计已投入额</t>
  </si>
  <si>
    <t>本年预计投入</t>
  </si>
  <si>
    <t xml:space="preserve">    合计</t>
  </si>
  <si>
    <t>自建/代建项目开发成本预算表</t>
  </si>
  <si>
    <t>自建地产项目开发成本预算表</t>
  </si>
  <si>
    <t>项目（二）</t>
  </si>
  <si>
    <t>项目（三）</t>
  </si>
  <si>
    <t>项目（-）</t>
  </si>
  <si>
    <t>概算/批复金额</t>
  </si>
  <si>
    <t>建筑面积（平方米）</t>
  </si>
  <si>
    <t>项目总概算(万元）</t>
  </si>
  <si>
    <t>开发成本合计</t>
  </si>
  <si>
    <t>土地成本</t>
  </si>
  <si>
    <t xml:space="preserve">    政府地价及市政配套费</t>
  </si>
  <si>
    <t xml:space="preserve">    拆迁补偿费</t>
  </si>
  <si>
    <t xml:space="preserve">    土地周边环境提升费</t>
  </si>
  <si>
    <t xml:space="preserve">    其它费用</t>
  </si>
  <si>
    <t>开发前期工程费</t>
  </si>
  <si>
    <t xml:space="preserve">    勘察设计费</t>
  </si>
  <si>
    <t xml:space="preserve">    图审费</t>
  </si>
  <si>
    <t xml:space="preserve">    测量费</t>
  </si>
  <si>
    <t xml:space="preserve">    预算费</t>
  </si>
  <si>
    <t xml:space="preserve">    建议书编制费</t>
  </si>
  <si>
    <t xml:space="preserve">    环评编制费</t>
  </si>
  <si>
    <t xml:space="preserve">    可研编制费</t>
  </si>
  <si>
    <t xml:space="preserve">    人防费</t>
  </si>
  <si>
    <t xml:space="preserve">   初步设计评审费</t>
  </si>
  <si>
    <t xml:space="preserve">    设计招标费</t>
  </si>
  <si>
    <t xml:space="preserve">    交易服务费</t>
  </si>
  <si>
    <t xml:space="preserve">    工程量及控制价</t>
  </si>
  <si>
    <t xml:space="preserve">    地勘费</t>
  </si>
  <si>
    <t xml:space="preserve">    节能编制报告</t>
  </si>
  <si>
    <t xml:space="preserve">    报批报建费</t>
  </si>
  <si>
    <t xml:space="preserve">    三通一平费</t>
  </si>
  <si>
    <t xml:space="preserve">    环境评价费</t>
  </si>
  <si>
    <t xml:space="preserve">    城建配套及规费</t>
  </si>
  <si>
    <t xml:space="preserve">    白蚁防治费</t>
  </si>
  <si>
    <t xml:space="preserve">    墙改费</t>
  </si>
  <si>
    <t xml:space="preserve">    高教费</t>
  </si>
  <si>
    <t xml:space="preserve">    房产交易费</t>
  </si>
  <si>
    <t xml:space="preserve">    规划许可证费</t>
  </si>
  <si>
    <t xml:space="preserve">    预备费</t>
  </si>
  <si>
    <t xml:space="preserve">    咨询费（跟踪审计）</t>
  </si>
  <si>
    <t xml:space="preserve">    招投标费</t>
  </si>
  <si>
    <t xml:space="preserve">    其他前期工程费</t>
  </si>
  <si>
    <t>基础设施费</t>
  </si>
  <si>
    <t xml:space="preserve">    供水费</t>
  </si>
  <si>
    <t xml:space="preserve">    供电费</t>
  </si>
  <si>
    <t xml:space="preserve">    煤气费</t>
  </si>
  <si>
    <t xml:space="preserve">    环卫设施费</t>
  </si>
  <si>
    <t xml:space="preserve">    排污费</t>
  </si>
  <si>
    <t xml:space="preserve">    绿化及景观布置费</t>
  </si>
  <si>
    <t xml:space="preserve">    道路费</t>
  </si>
  <si>
    <t>建筑安装工程费</t>
  </si>
  <si>
    <t xml:space="preserve">    建安工程</t>
  </si>
  <si>
    <t xml:space="preserve">    设施设备费</t>
  </si>
  <si>
    <t xml:space="preserve">    装修成本</t>
  </si>
  <si>
    <t xml:space="preserve">    工程审计费</t>
  </si>
  <si>
    <t xml:space="preserve">    基础工程费</t>
  </si>
  <si>
    <t xml:space="preserve">    钢结构工程费</t>
  </si>
  <si>
    <t xml:space="preserve">    监理费</t>
  </si>
  <si>
    <t xml:space="preserve">    检验测试费</t>
  </si>
  <si>
    <t>配套设施费</t>
  </si>
  <si>
    <t xml:space="preserve">    会所</t>
  </si>
  <si>
    <t xml:space="preserve">    游泳池</t>
  </si>
  <si>
    <t xml:space="preserve">    小区娱乐设施</t>
  </si>
  <si>
    <t xml:space="preserve">    网球场</t>
  </si>
  <si>
    <t xml:space="preserve">    学校</t>
  </si>
  <si>
    <t xml:space="preserve">    其他设施</t>
  </si>
  <si>
    <t>开发间接费用(管理费）</t>
  </si>
  <si>
    <t>备注事项：</t>
  </si>
  <si>
    <t>1、各单位按项目填报，根据立项，修改项目名称。</t>
  </si>
  <si>
    <t>固定资产、无形资产投资及低耗采购预算表</t>
  </si>
  <si>
    <t>固定资产及无形资产投资预算表</t>
  </si>
  <si>
    <t>编制部门：</t>
  </si>
  <si>
    <t>2023预算年度</t>
  </si>
  <si>
    <t>1-9月实际数</t>
  </si>
  <si>
    <t>全年预计数</t>
  </si>
  <si>
    <t>第一季度</t>
  </si>
  <si>
    <t>第二季度</t>
  </si>
  <si>
    <t>第三季度</t>
  </si>
  <si>
    <t>第四季度</t>
  </si>
  <si>
    <t xml:space="preserve">        合计</t>
  </si>
  <si>
    <t>固定资产投资</t>
  </si>
  <si>
    <t xml:space="preserve">    电器设备</t>
  </si>
  <si>
    <t>领导办公室购置电脑一台5500元；党委办公室购置空调两台：3000元/台，共6000元，打印机一台6000元，电脑一台5000元；董事会办公室购置一台笔记本电脑6500元，空调柜机三台共18000元，空调挂机两台共5000元；纪检监察室购置一台电脑及一台显示屏7000元；投资发展部购置三台电脑5500元/台，共16500元，资产管理部购置三台电脑与一台打印机28000元；财务管理部购置一台打印机8500元，一台全自动凭证装订机8000元，一台U8电脑主机6000元；审计部购置两台电脑5000元/台，共10000元，一台打印机3500元；人力资源部购置一台电脑5000元。</t>
  </si>
  <si>
    <t xml:space="preserve">    机械设备</t>
  </si>
  <si>
    <t xml:space="preserve">    办公家具</t>
  </si>
  <si>
    <t>领导办公室办公家具5000元；信访接待室木质沙发3000元；党委办公室沙发3000元</t>
  </si>
  <si>
    <t xml:space="preserve">    融资租赁固定资产</t>
  </si>
  <si>
    <t xml:space="preserve">    其他设备</t>
  </si>
  <si>
    <t>无形资产投资</t>
  </si>
  <si>
    <t xml:space="preserve">    土地使用权</t>
  </si>
  <si>
    <t xml:space="preserve">    专利权</t>
  </si>
  <si>
    <t xml:space="preserve">    非专利技术</t>
  </si>
  <si>
    <t xml:space="preserve">    商标权</t>
  </si>
  <si>
    <t xml:space="preserve">    著作权</t>
  </si>
  <si>
    <t xml:space="preserve">    管理用软件</t>
  </si>
  <si>
    <t>财务管理部U8系统升级</t>
  </si>
  <si>
    <t xml:space="preserve">    其他无形资产</t>
  </si>
  <si>
    <t>电脑正版化334100+16000网站</t>
  </si>
  <si>
    <t>低值易耗品采购（200-2000元）</t>
  </si>
  <si>
    <t>价值（500-2000元）未能确认固定资产（如：办公椅、移动硬盘等）</t>
  </si>
  <si>
    <r>
      <rPr>
        <sz val="10"/>
        <rFont val="Arial"/>
        <family val="2"/>
      </rPr>
      <t xml:space="preserve">      </t>
    </r>
    <r>
      <rPr>
        <sz val="10"/>
        <rFont val="宋体"/>
        <family val="0"/>
      </rPr>
      <t>电器设备</t>
    </r>
  </si>
  <si>
    <r>
      <rPr>
        <sz val="10"/>
        <rFont val="宋体"/>
        <family val="0"/>
      </rPr>
      <t>投资发展部购置</t>
    </r>
    <r>
      <rPr>
        <sz val="10"/>
        <rFont val="Arial"/>
        <family val="2"/>
      </rPr>
      <t>1</t>
    </r>
    <r>
      <rPr>
        <sz val="10"/>
        <rFont val="宋体"/>
        <family val="0"/>
      </rPr>
      <t>个移动硬盘</t>
    </r>
    <r>
      <rPr>
        <sz val="10"/>
        <rFont val="Arial"/>
        <family val="2"/>
      </rPr>
      <t>800</t>
    </r>
    <r>
      <rPr>
        <sz val="10"/>
        <rFont val="宋体"/>
        <family val="0"/>
      </rPr>
      <t>元，</t>
    </r>
    <r>
      <rPr>
        <sz val="10"/>
        <rFont val="Arial"/>
        <family val="2"/>
      </rPr>
      <t>1</t>
    </r>
    <r>
      <rPr>
        <sz val="10"/>
        <rFont val="宋体"/>
        <family val="0"/>
      </rPr>
      <t>台碎纸机2000元，董事会办公室茶水柜1500元。</t>
    </r>
  </si>
  <si>
    <r>
      <rPr>
        <sz val="10"/>
        <rFont val="Arial"/>
        <family val="2"/>
      </rPr>
      <t xml:space="preserve">      </t>
    </r>
    <r>
      <rPr>
        <sz val="10"/>
        <rFont val="宋体"/>
        <family val="0"/>
      </rPr>
      <t>办公家具</t>
    </r>
  </si>
  <si>
    <r>
      <rPr>
        <sz val="10"/>
        <rFont val="宋体"/>
        <family val="0"/>
      </rPr>
      <t>党委办公室购置2台办公椅12</t>
    </r>
    <r>
      <rPr>
        <sz val="10"/>
        <rFont val="Arial"/>
        <family val="2"/>
      </rPr>
      <t>00</t>
    </r>
    <r>
      <rPr>
        <sz val="10"/>
        <rFont val="宋体"/>
        <family val="0"/>
      </rPr>
      <t>元；纪检监察室购置三张桌边柜1500元；投发部需购置3张办公椅1500元、4个铁皮文件柜1200元；资产管理部购置办公椅和资料柜3000元；财务管理部购置1台保险柜1800元；审计部购置1台办公桌1000元</t>
    </r>
  </si>
  <si>
    <r>
      <rPr>
        <sz val="10"/>
        <rFont val="Arial"/>
        <family val="2"/>
      </rPr>
      <t xml:space="preserve">      </t>
    </r>
    <r>
      <rPr>
        <sz val="10"/>
        <rFont val="宋体"/>
        <family val="0"/>
      </rPr>
      <t>生产设备</t>
    </r>
  </si>
  <si>
    <r>
      <rPr>
        <sz val="10"/>
        <rFont val="Arial"/>
        <family val="2"/>
      </rPr>
      <t xml:space="preserve">      </t>
    </r>
    <r>
      <rPr>
        <sz val="10"/>
        <rFont val="宋体"/>
        <family val="0"/>
      </rPr>
      <t>周转材料</t>
    </r>
  </si>
  <si>
    <r>
      <rPr>
        <sz val="10"/>
        <rFont val="宋体"/>
        <family val="0"/>
      </rPr>
      <t>财务管理部购置财务档案室文件柜</t>
    </r>
    <r>
      <rPr>
        <sz val="10"/>
        <rFont val="Arial"/>
        <family val="2"/>
      </rPr>
      <t>21</t>
    </r>
    <r>
      <rPr>
        <sz val="10"/>
        <rFont val="宋体"/>
        <family val="0"/>
      </rPr>
      <t>组</t>
    </r>
    <r>
      <rPr>
        <sz val="10"/>
        <rFont val="Arial"/>
        <family val="2"/>
      </rPr>
      <t>1500</t>
    </r>
    <r>
      <rPr>
        <sz val="10"/>
        <rFont val="宋体"/>
        <family val="0"/>
      </rPr>
      <t>元</t>
    </r>
    <r>
      <rPr>
        <sz val="10"/>
        <rFont val="Arial"/>
        <family val="2"/>
      </rPr>
      <t>/</t>
    </r>
    <r>
      <rPr>
        <sz val="10"/>
        <rFont val="宋体"/>
        <family val="0"/>
      </rPr>
      <t>组</t>
    </r>
  </si>
  <si>
    <t>编制人：</t>
  </si>
  <si>
    <t>审核：</t>
  </si>
  <si>
    <t>1、本表各项目填报数据与账务核算固定资产及无形资产对应科目保持一致；</t>
  </si>
  <si>
    <t>2、对单件资产预计价格超过5万元的，需要在填报说明中详细说明。</t>
  </si>
  <si>
    <t>4、本表各项目填报数据与账务核算低值易耗品对应科目保持一致；</t>
  </si>
  <si>
    <t>5、对单件资产预计价格在500元以上且不超过2千元的，填报在本表。</t>
  </si>
  <si>
    <t>填报说明：</t>
  </si>
  <si>
    <t>筹资预算表</t>
  </si>
  <si>
    <t xml:space="preserve">项目 </t>
  </si>
  <si>
    <t>借款用途</t>
  </si>
  <si>
    <t>融资起止时间</t>
  </si>
  <si>
    <t>融资利率</t>
  </si>
  <si>
    <t>还款来源</t>
  </si>
  <si>
    <t>资金净融入</t>
  </si>
  <si>
    <t xml:space="preserve">    融入资金</t>
  </si>
  <si>
    <t xml:space="preserve">        银行借款</t>
  </si>
  <si>
    <t xml:space="preserve">        财务公司借款</t>
  </si>
  <si>
    <t xml:space="preserve">        吸收外部投资</t>
  </si>
  <si>
    <t xml:space="preserve">        其他借款</t>
  </si>
  <si>
    <t xml:space="preserve">    归还资金</t>
  </si>
  <si>
    <t xml:space="preserve">        归还银行借款</t>
  </si>
  <si>
    <t xml:space="preserve">        归还财务公司借款</t>
  </si>
  <si>
    <t xml:space="preserve">        归还外部投资</t>
  </si>
  <si>
    <t xml:space="preserve">        归还其他借款</t>
  </si>
  <si>
    <t>1、在填报说明中逐笔说明借款方式、用途等详细信息；</t>
  </si>
  <si>
    <t>2、银行借款+财务公司借款=《筹资活动现金流量预算》中"借款所收到的现金"；吸收外部投资=《筹资活动现金流量预算》中"吸收投资所收到的现金"；</t>
  </si>
  <si>
    <t>3、归还银行借款+归还财务公司借款+归还外部投资=《筹资活动现金流量预算》中"偿还债务所支付的现金"；</t>
  </si>
  <si>
    <t>权益性投资明细预算表（不包括并购项目）</t>
  </si>
  <si>
    <t>被投资单位或项目</t>
  </si>
  <si>
    <t>投资方式</t>
  </si>
  <si>
    <t>投资类型</t>
  </si>
  <si>
    <t>项目总投资</t>
  </si>
  <si>
    <t>项目合计</t>
  </si>
  <si>
    <t>X</t>
  </si>
  <si>
    <t>1</t>
  </si>
  <si>
    <t>2</t>
  </si>
  <si>
    <t>3</t>
  </si>
  <si>
    <t>4</t>
  </si>
  <si>
    <t>5</t>
  </si>
  <si>
    <t>6</t>
  </si>
  <si>
    <t>7</t>
  </si>
  <si>
    <t>8</t>
  </si>
  <si>
    <t>9</t>
  </si>
  <si>
    <t>10</t>
  </si>
  <si>
    <t>11</t>
  </si>
  <si>
    <t>12</t>
  </si>
  <si>
    <t>13</t>
  </si>
  <si>
    <t>14</t>
  </si>
  <si>
    <t>1、投入方式分为：货币投入、非货币资产投入。</t>
  </si>
  <si>
    <t>2、投资类型分为：全资、控股、参股，全资指投资占被投资单位100%的股份，控股指投资比例在50%以上低于100%的投资，参股指投资比例低于50%的投资。</t>
  </si>
  <si>
    <t>3、投资额：对非货币资产投入的项目，该非货币资产有评估值，按评估值填报。</t>
  </si>
  <si>
    <t>4、各项目预算年度数据应与账务核算“长期股权投资”科目保持一致。</t>
  </si>
  <si>
    <t>资产处置预算表</t>
  </si>
  <si>
    <t>资产类别</t>
  </si>
  <si>
    <t>资产购置日期</t>
  </si>
  <si>
    <t>资产状况</t>
  </si>
  <si>
    <t>存放地点</t>
  </si>
  <si>
    <t>账面原值</t>
  </si>
  <si>
    <t>账面净值</t>
  </si>
  <si>
    <t>预算年度资产处置净损益</t>
  </si>
  <si>
    <t>往来款项类</t>
  </si>
  <si>
    <t>办公设备类</t>
  </si>
  <si>
    <t>非办公设备类</t>
  </si>
  <si>
    <t>2018.1.31</t>
  </si>
  <si>
    <t>已达报废年限</t>
  </si>
  <si>
    <t>不动产类</t>
  </si>
  <si>
    <t>无形资产类</t>
  </si>
  <si>
    <t>其它</t>
  </si>
  <si>
    <t>1、请单笔逐项在填报说明中详细说明资产状况及处置原因；</t>
  </si>
  <si>
    <t>2、预计处理净损益与进入营业外收支金额保持一致；</t>
  </si>
  <si>
    <t>3、资产处置前，按制度文件审批流程报批后再进行处理。</t>
  </si>
  <si>
    <t>4、资产状况分：往来款类按账龄填写；设备类按在用、停用、闲置、报废 ；不动产类按在用、闲置填列；</t>
  </si>
  <si>
    <t>并购项目预算明细表</t>
  </si>
  <si>
    <t>1、并购业务指一个企业购买其他企业的全部或部分资产或股权，从而影响、控制其他企业的经营管理，其他企业保留或者消灭法人资格。</t>
  </si>
  <si>
    <t>2、投入方式分为：货币投入、非货币资产投入。</t>
  </si>
  <si>
    <t>3、投入类型分为：全资、控股。</t>
  </si>
  <si>
    <t>4、投资额：对非货币资产投入的项目，该非货币资产有评估值，按评估值填报。</t>
  </si>
  <si>
    <t>5、预算年度预算投资额应与账务核算中“长期股权投资”口径保持一致。</t>
  </si>
  <si>
    <t>合作项目预算表</t>
  </si>
  <si>
    <t>单位名称</t>
  </si>
  <si>
    <t>单位编码</t>
  </si>
  <si>
    <t>合作项目是我方出土地，对方出资金建设项目。</t>
  </si>
  <si>
    <t>车辆预算明细表</t>
  </si>
  <si>
    <t>公务用车预算明细表</t>
  </si>
  <si>
    <t>一、公务车辆采购计划</t>
  </si>
  <si>
    <t>品牌</t>
  </si>
  <si>
    <t>规格型号</t>
  </si>
  <si>
    <t>排量</t>
  </si>
  <si>
    <t>座位数</t>
  </si>
  <si>
    <t>数量</t>
  </si>
  <si>
    <t>一、现有车辆情况</t>
  </si>
  <si>
    <t>购买日期</t>
  </si>
  <si>
    <t>15</t>
  </si>
  <si>
    <t>16</t>
  </si>
  <si>
    <t>17</t>
  </si>
  <si>
    <t>18</t>
  </si>
  <si>
    <t>19</t>
  </si>
  <si>
    <t>20</t>
  </si>
  <si>
    <t>1、新购置公务用车需在备注或填报说明中详细说明购车事由。</t>
  </si>
  <si>
    <t>2、现有车辆中，填报信息与账务核算保持一致口径，如车辆不在本单位使用，请在备注或填报说明中说明情况。</t>
  </si>
  <si>
    <t>3、预算年度公务车辆采购预算应与账务核算中“交通运输设备”保持一致。</t>
  </si>
  <si>
    <t>主营业务收支预算表</t>
  </si>
  <si>
    <t>单位:  元</t>
  </si>
  <si>
    <t>主营业务收合计</t>
  </si>
  <si>
    <t xml:space="preserve">    农业板块业务收入</t>
  </si>
  <si>
    <t xml:space="preserve">        种植</t>
  </si>
  <si>
    <t xml:space="preserve">        养殖</t>
  </si>
  <si>
    <t xml:space="preserve">    市政市容板块业务收入</t>
  </si>
  <si>
    <t xml:space="preserve">        环境卫生收入</t>
  </si>
  <si>
    <t xml:space="preserve">        路灯管养收入</t>
  </si>
  <si>
    <t xml:space="preserve">        道路养护收入</t>
  </si>
  <si>
    <t xml:space="preserve">    学校管理板块业务收入</t>
  </si>
  <si>
    <t xml:space="preserve">    服务业板块业务收入</t>
  </si>
  <si>
    <t xml:space="preserve">        后勤服务</t>
  </si>
  <si>
    <t xml:space="preserve">        车辆管理</t>
  </si>
  <si>
    <t>内部往来</t>
  </si>
  <si>
    <t xml:space="preserve">        学校后勤</t>
  </si>
  <si>
    <t xml:space="preserve">        消防后勤</t>
  </si>
  <si>
    <t xml:space="preserve">    旅游业板块业务收入</t>
  </si>
  <si>
    <t xml:space="preserve">    农场板块业务收入</t>
  </si>
  <si>
    <t xml:space="preserve">        资产代管费收入</t>
  </si>
  <si>
    <t xml:space="preserve">        代建收入</t>
  </si>
  <si>
    <t>主营业务成本合计</t>
  </si>
  <si>
    <t xml:space="preserve">    农业板块业务支出</t>
  </si>
  <si>
    <t xml:space="preserve">    市政市容板块业务支出</t>
  </si>
  <si>
    <t xml:space="preserve">        环境卫生支出</t>
  </si>
  <si>
    <t xml:space="preserve">        路灯管养支出</t>
  </si>
  <si>
    <t xml:space="preserve">        道路养护支出</t>
  </si>
  <si>
    <t xml:space="preserve">    学校管理板块业务支出</t>
  </si>
  <si>
    <t xml:space="preserve">    服务业板块业务支出</t>
  </si>
  <si>
    <t xml:space="preserve">    旅游业板块业务支出</t>
  </si>
  <si>
    <t xml:space="preserve">  </t>
  </si>
  <si>
    <t>编制人:吴钦雄</t>
  </si>
  <si>
    <t>审核人:文国梅</t>
  </si>
  <si>
    <t>生产成本预算表（汇总）</t>
  </si>
  <si>
    <t>生产成本合计</t>
  </si>
  <si>
    <t xml:space="preserve">    基本生产成本</t>
  </si>
  <si>
    <t xml:space="preserve">      直接人工成本</t>
  </si>
  <si>
    <t xml:space="preserve">        工资</t>
  </si>
  <si>
    <t xml:space="preserve">          岗位基本工资</t>
  </si>
  <si>
    <t xml:space="preserve">          岗位绩效工资</t>
  </si>
  <si>
    <t xml:space="preserve">           基础绩效</t>
  </si>
  <si>
    <t xml:space="preserve">           季度绩效</t>
  </si>
  <si>
    <t xml:space="preserve">           年度绩效</t>
  </si>
  <si>
    <t xml:space="preserve">          岗位津贴/补贴</t>
  </si>
  <si>
    <t xml:space="preserve">          加班值班工资</t>
  </si>
  <si>
    <t xml:space="preserve">        福利费</t>
  </si>
  <si>
    <t xml:space="preserve">          午餐补贴</t>
  </si>
  <si>
    <t xml:space="preserve">          体 检 费</t>
  </si>
  <si>
    <t xml:space="preserve">          其    他</t>
  </si>
  <si>
    <t xml:space="preserve">        社保费</t>
  </si>
  <si>
    <t xml:space="preserve">          四项保险</t>
  </si>
  <si>
    <t xml:space="preserve">          员工差额</t>
  </si>
  <si>
    <t xml:space="preserve">        公积金</t>
  </si>
  <si>
    <t xml:space="preserve">        职工教育经费1.5%</t>
  </si>
  <si>
    <t xml:space="preserve">        工会经费2%</t>
  </si>
  <si>
    <t xml:space="preserve">      劳务用工成本</t>
  </si>
  <si>
    <t xml:space="preserve">      直接材料成本</t>
  </si>
  <si>
    <t xml:space="preserve">        原材料  </t>
  </si>
  <si>
    <t xml:space="preserve">        肥  料</t>
  </si>
  <si>
    <t xml:space="preserve">        农  药</t>
  </si>
  <si>
    <t xml:space="preserve">        其  他</t>
  </si>
  <si>
    <t xml:space="preserve">    辅助生产成本</t>
  </si>
  <si>
    <t xml:space="preserve">      办公费</t>
  </si>
  <si>
    <t xml:space="preserve">      差旅费</t>
  </si>
  <si>
    <t xml:space="preserve">      水电费</t>
  </si>
  <si>
    <t xml:space="preserve">      燃料费</t>
  </si>
  <si>
    <t xml:space="preserve">      车辆费</t>
  </si>
  <si>
    <t xml:space="preserve">      税  费</t>
  </si>
  <si>
    <t xml:space="preserve">      设备维修费</t>
  </si>
  <si>
    <t xml:space="preserve">      生产工具</t>
  </si>
  <si>
    <t xml:space="preserve">      土地改良</t>
  </si>
  <si>
    <t xml:space="preserve">      其  他</t>
  </si>
  <si>
    <t xml:space="preserve">    摊销性费用</t>
  </si>
  <si>
    <t xml:space="preserve">      固定资产折旧摊销</t>
  </si>
  <si>
    <t xml:space="preserve">      低值易耗品</t>
  </si>
  <si>
    <t xml:space="preserve">      土地租金摊销</t>
  </si>
  <si>
    <t>期末结转</t>
  </si>
  <si>
    <r>
      <t xml:space="preserve">  千亩基地322亩密本南瓜                  </t>
    </r>
    <r>
      <rPr>
        <sz val="12.5"/>
        <rFont val="宋体"/>
        <family val="0"/>
      </rPr>
      <t>生产成本预算表</t>
    </r>
  </si>
  <si>
    <t>2023年3月</t>
  </si>
  <si>
    <t>编制人:</t>
  </si>
  <si>
    <t>审核人:</t>
  </si>
  <si>
    <r>
      <t xml:space="preserve">  千亩基地3亩三角宁地瓜                  </t>
    </r>
    <r>
      <rPr>
        <sz val="12.5"/>
        <rFont val="宋体"/>
        <family val="0"/>
      </rPr>
      <t>生产成本预算表</t>
    </r>
  </si>
  <si>
    <r>
      <t xml:space="preserve">         千亩基地3亩圣女果       </t>
    </r>
    <r>
      <rPr>
        <sz val="12.5"/>
        <rFont val="宋体"/>
        <family val="0"/>
      </rPr>
      <t>生产成本预算表</t>
    </r>
  </si>
  <si>
    <r>
      <t xml:space="preserve">     叶菜55亩      </t>
    </r>
    <r>
      <rPr>
        <sz val="12.5"/>
        <rFont val="宋体"/>
        <family val="0"/>
      </rPr>
      <t>生产成本预算表</t>
    </r>
  </si>
  <si>
    <r>
      <t xml:space="preserve">      千亩基地25亩鱼塘     </t>
    </r>
    <r>
      <rPr>
        <sz val="12.5"/>
        <rFont val="宋体"/>
        <family val="0"/>
      </rPr>
      <t>生产成本预算表</t>
    </r>
  </si>
  <si>
    <r>
      <t xml:space="preserve">    椰子基地138亩椰子    </t>
    </r>
    <r>
      <rPr>
        <sz val="12.5"/>
        <rFont val="宋体"/>
        <family val="0"/>
      </rPr>
      <t>生产成本预算表</t>
    </r>
  </si>
  <si>
    <t>预计10%的收获，为250棵椰子挂果，1棵挂果10个，一个为5元</t>
  </si>
  <si>
    <r>
      <t xml:space="preserve">     椰子基地17亩菠萝           </t>
    </r>
    <r>
      <rPr>
        <sz val="12.5"/>
        <rFont val="宋体"/>
        <family val="0"/>
      </rPr>
      <t>生产成本预算表</t>
    </r>
  </si>
  <si>
    <r>
      <t xml:space="preserve">   椰子基地50亩密本南瓜  </t>
    </r>
    <r>
      <rPr>
        <sz val="12.5"/>
        <rFont val="宋体"/>
        <family val="0"/>
      </rPr>
      <t>生产成本预算表</t>
    </r>
  </si>
  <si>
    <r>
      <t xml:space="preserve">   三江湾咸水鸭        </t>
    </r>
    <r>
      <rPr>
        <sz val="12.5"/>
        <rFont val="宋体"/>
        <family val="0"/>
      </rPr>
      <t>生产成本预算表</t>
    </r>
  </si>
  <si>
    <t>营业成本预算表</t>
  </si>
  <si>
    <t>1-11月实际数</t>
  </si>
  <si>
    <t>12月预测数</t>
  </si>
  <si>
    <t>营业成本合计</t>
  </si>
  <si>
    <t xml:space="preserve">    基本成本</t>
  </si>
  <si>
    <t xml:space="preserve">          其    他（体检+服装）</t>
  </si>
  <si>
    <t xml:space="preserve">    辅助成本</t>
  </si>
  <si>
    <t xml:space="preserve">      劳保用品</t>
  </si>
  <si>
    <t xml:space="preserve">      其  他（防疫物资）</t>
  </si>
  <si>
    <r>
      <t xml:space="preserve">  三江居环境卫生  </t>
    </r>
    <r>
      <rPr>
        <sz val="12.5"/>
        <rFont val="宋体"/>
        <family val="0"/>
      </rPr>
      <t>营业成本预算表</t>
    </r>
  </si>
  <si>
    <t xml:space="preserve">      直接成本</t>
  </si>
  <si>
    <t xml:space="preserve">        其  他（工具）</t>
  </si>
  <si>
    <r>
      <t xml:space="preserve">  公车服务项目  </t>
    </r>
    <r>
      <rPr>
        <sz val="12.5"/>
        <rFont val="宋体"/>
        <family val="0"/>
      </rPr>
      <t>营业成本预算表</t>
    </r>
  </si>
  <si>
    <t xml:space="preserve">        油料费  </t>
  </si>
  <si>
    <t xml:space="preserve">        保险费</t>
  </si>
  <si>
    <t xml:space="preserve">        维修费</t>
  </si>
  <si>
    <r>
      <t xml:space="preserve">  农场后勤服务项目  </t>
    </r>
    <r>
      <rPr>
        <sz val="12.5"/>
        <rFont val="宋体"/>
        <family val="0"/>
      </rPr>
      <t>营业成本预算表</t>
    </r>
  </si>
  <si>
    <r>
      <t xml:space="preserve">  综合培训基地项目  </t>
    </r>
    <r>
      <rPr>
        <sz val="12.5"/>
        <rFont val="宋体"/>
        <family val="0"/>
      </rPr>
      <t>营业成本预算表</t>
    </r>
  </si>
  <si>
    <r>
      <t xml:space="preserve">  琼山区消防后勤服务项目  </t>
    </r>
    <r>
      <rPr>
        <sz val="12.5"/>
        <rFont val="宋体"/>
        <family val="0"/>
      </rPr>
      <t>营业成本预算表</t>
    </r>
  </si>
  <si>
    <t>其他业务收支预算表</t>
  </si>
  <si>
    <t>单位：  元</t>
  </si>
  <si>
    <t>其他业务收支差额</t>
  </si>
  <si>
    <t xml:space="preserve">    其他业务收入</t>
  </si>
  <si>
    <t xml:space="preserve">        其中：财产租赁收入</t>
  </si>
  <si>
    <t xml:space="preserve">              管理费收入</t>
  </si>
  <si>
    <r>
      <t xml:space="preserve"> </t>
    </r>
    <r>
      <rPr>
        <sz val="8.85"/>
        <rFont val="宋体"/>
        <family val="0"/>
      </rPr>
      <t xml:space="preserve">             代建收入</t>
    </r>
  </si>
  <si>
    <t xml:space="preserve">    其他业务成本</t>
  </si>
  <si>
    <t xml:space="preserve">        其中： 财产租赁成本</t>
  </si>
  <si>
    <t xml:space="preserve">               其他成本</t>
  </si>
  <si>
    <t>营业外收支预算表</t>
  </si>
  <si>
    <t>单位： 元</t>
  </si>
  <si>
    <t>营业外收入</t>
  </si>
  <si>
    <t xml:space="preserve">    盘盈收入</t>
  </si>
  <si>
    <t xml:space="preserve">    处置非流动资产收入</t>
  </si>
  <si>
    <t xml:space="preserve">    非货币性资产交换</t>
  </si>
  <si>
    <t xml:space="preserve">    债务重组收入</t>
  </si>
  <si>
    <t xml:space="preserve">    捐赠收入</t>
  </si>
  <si>
    <t xml:space="preserve">    政府补助</t>
  </si>
  <si>
    <t xml:space="preserve">    罚款收入</t>
  </si>
  <si>
    <t xml:space="preserve">    税金返还</t>
  </si>
  <si>
    <t xml:space="preserve">    社会性收入</t>
  </si>
  <si>
    <t xml:space="preserve">    其他</t>
  </si>
  <si>
    <t>营业外支出</t>
  </si>
  <si>
    <t xml:space="preserve">    非流动资产处置损失</t>
  </si>
  <si>
    <t xml:space="preserve">    非货币性资产交换损失</t>
  </si>
  <si>
    <t xml:space="preserve">    债务重组损失</t>
  </si>
  <si>
    <t xml:space="preserve">    罚款支出</t>
  </si>
  <si>
    <t xml:space="preserve">    公益性捐赠支出</t>
  </si>
  <si>
    <t xml:space="preserve">    盘亏损失</t>
  </si>
  <si>
    <t xml:space="preserve">    赔偿金</t>
  </si>
  <si>
    <t xml:space="preserve">    违约金</t>
  </si>
  <si>
    <t xml:space="preserve">    非常损失</t>
  </si>
  <si>
    <t xml:space="preserve">    处理产成品损失</t>
  </si>
  <si>
    <t xml:space="preserve">    防汛抢险支出</t>
  </si>
  <si>
    <t xml:space="preserve">    支农支出</t>
  </si>
  <si>
    <t xml:space="preserve">    为民办实事支出</t>
  </si>
  <si>
    <t>税金预算表</t>
  </si>
  <si>
    <t>全年合计数</t>
  </si>
  <si>
    <t>增值税</t>
  </si>
  <si>
    <t xml:space="preserve">    期初应交</t>
  </si>
  <si>
    <t xml:space="preserve">    本期应交</t>
  </si>
  <si>
    <t xml:space="preserve">    本期交纳</t>
  </si>
  <si>
    <t xml:space="preserve">    期末应交</t>
  </si>
  <si>
    <t>消费税</t>
  </si>
  <si>
    <t>资源税</t>
  </si>
  <si>
    <t>城市维护建设税</t>
  </si>
  <si>
    <t>教育费附加</t>
  </si>
  <si>
    <t>房产税</t>
  </si>
  <si>
    <t>耕地占用税</t>
  </si>
  <si>
    <t>土地使用税</t>
  </si>
  <si>
    <t>车船使用税</t>
  </si>
  <si>
    <t>所得税</t>
  </si>
  <si>
    <t>土地增值税</t>
  </si>
  <si>
    <t>其他税费</t>
  </si>
  <si>
    <t>税金支付合计</t>
  </si>
  <si>
    <t>应交税费增减额</t>
  </si>
  <si>
    <t xml:space="preserve">    其中：未进损益的应交税费</t>
  </si>
  <si>
    <t>销售（经营）费用预算</t>
  </si>
  <si>
    <t>销售(经营)费用合计</t>
  </si>
  <si>
    <t xml:space="preserve">    工资性费用</t>
  </si>
  <si>
    <t xml:space="preserve">      工资</t>
  </si>
  <si>
    <t xml:space="preserve">        岗位基本工资</t>
  </si>
  <si>
    <t xml:space="preserve">        岗位绩效工资</t>
  </si>
  <si>
    <r>
      <t xml:space="preserve"> </t>
    </r>
    <r>
      <rPr>
        <sz val="8.85"/>
        <rFont val="宋体"/>
        <family val="0"/>
      </rPr>
      <t xml:space="preserve">         基础绩效</t>
    </r>
  </si>
  <si>
    <r>
      <t xml:space="preserve"> </t>
    </r>
    <r>
      <rPr>
        <sz val="8.85"/>
        <rFont val="宋体"/>
        <family val="0"/>
      </rPr>
      <t xml:space="preserve">         季度绩效</t>
    </r>
  </si>
  <si>
    <r>
      <t xml:space="preserve"> </t>
    </r>
    <r>
      <rPr>
        <sz val="8.85"/>
        <rFont val="宋体"/>
        <family val="0"/>
      </rPr>
      <t xml:space="preserve">         年度绩效</t>
    </r>
  </si>
  <si>
    <t xml:space="preserve">        先进个人奖</t>
  </si>
  <si>
    <t xml:space="preserve">        岗位津贴/补贴</t>
  </si>
  <si>
    <t xml:space="preserve">        加班值班工资</t>
  </si>
  <si>
    <t xml:space="preserve">      福利费</t>
  </si>
  <si>
    <t xml:space="preserve">      社保费</t>
  </si>
  <si>
    <t xml:space="preserve">      公积金</t>
  </si>
  <si>
    <t xml:space="preserve">      职工教育经费1.5%</t>
  </si>
  <si>
    <t xml:space="preserve">      工会经费2%</t>
  </si>
  <si>
    <t xml:space="preserve">        其他</t>
  </si>
  <si>
    <t xml:space="preserve">    日常性费用</t>
  </si>
  <si>
    <t xml:space="preserve">        办公费</t>
  </si>
  <si>
    <t xml:space="preserve">        差旅费</t>
  </si>
  <si>
    <t xml:space="preserve">        业务招待费</t>
  </si>
  <si>
    <t xml:space="preserve">        通讯费</t>
  </si>
  <si>
    <t xml:space="preserve">        车辆费用</t>
  </si>
  <si>
    <t xml:space="preserve">        房租费及物业管理费</t>
  </si>
  <si>
    <t xml:space="preserve">        水电费</t>
  </si>
  <si>
    <t xml:space="preserve">        劳务费</t>
  </si>
  <si>
    <t xml:space="preserve">        广告费及业务宣传费</t>
  </si>
  <si>
    <t xml:space="preserve">        劳动保险费</t>
  </si>
  <si>
    <t xml:space="preserve">        运输费</t>
  </si>
  <si>
    <t xml:space="preserve">        办公上网费</t>
  </si>
  <si>
    <t xml:space="preserve">        资料费</t>
  </si>
  <si>
    <t xml:space="preserve">        设备租赁费</t>
  </si>
  <si>
    <t xml:space="preserve">        设备维修费</t>
  </si>
  <si>
    <t xml:space="preserve">        培训费</t>
  </si>
  <si>
    <t xml:space="preserve">        会务费</t>
  </si>
  <si>
    <t xml:space="preserve">        招聘解聘费</t>
  </si>
  <si>
    <t xml:space="preserve">        市内交通费</t>
  </si>
  <si>
    <t xml:space="preserve">        诉讼费</t>
  </si>
  <si>
    <t xml:space="preserve">        固定资产折旧</t>
  </si>
  <si>
    <t xml:space="preserve">        无形资产摊销</t>
  </si>
  <si>
    <t xml:space="preserve">        其他摊销费用</t>
  </si>
  <si>
    <t>管理费用预算表</t>
  </si>
  <si>
    <t>管理费用合计</t>
  </si>
  <si>
    <r>
      <t xml:space="preserve"> </t>
    </r>
    <r>
      <rPr>
        <sz val="8.85"/>
        <rFont val="宋体"/>
        <family val="0"/>
      </rPr>
      <t xml:space="preserve">   </t>
    </r>
    <r>
      <rPr>
        <sz val="8.85"/>
        <rFont val="宋体"/>
        <family val="0"/>
      </rPr>
      <t>职工薪酬</t>
    </r>
  </si>
  <si>
    <t xml:space="preserve">      履职待遇</t>
  </si>
  <si>
    <t xml:space="preserve">        公务交通补贴</t>
  </si>
  <si>
    <t xml:space="preserve">        通讯补贴</t>
  </si>
  <si>
    <r>
      <t xml:space="preserve">    </t>
    </r>
    <r>
      <rPr>
        <sz val="8.85"/>
        <rFont val="宋体"/>
        <family val="0"/>
      </rPr>
      <t>日常性费用</t>
    </r>
  </si>
  <si>
    <t xml:space="preserve">      业务招待费</t>
  </si>
  <si>
    <t xml:space="preserve">      通讯费</t>
  </si>
  <si>
    <t xml:space="preserve">      车辆费用</t>
  </si>
  <si>
    <t xml:space="preserve">        油料费</t>
  </si>
  <si>
    <t xml:space="preserve">        修理费</t>
  </si>
  <si>
    <t xml:space="preserve">        其他费用</t>
  </si>
  <si>
    <r>
      <t xml:space="preserve"> </t>
    </r>
    <r>
      <rPr>
        <sz val="8.85"/>
        <rFont val="宋体"/>
        <family val="0"/>
      </rPr>
      <t xml:space="preserve">     </t>
    </r>
    <r>
      <rPr>
        <sz val="8.85"/>
        <rFont val="宋体"/>
        <family val="0"/>
      </rPr>
      <t>房租费</t>
    </r>
  </si>
  <si>
    <r>
      <t xml:space="preserve">     </t>
    </r>
    <r>
      <rPr>
        <sz val="8.85"/>
        <rFont val="宋体"/>
        <family val="0"/>
      </rPr>
      <t xml:space="preserve"> </t>
    </r>
    <r>
      <rPr>
        <sz val="8.85"/>
        <rFont val="宋体"/>
        <family val="0"/>
      </rPr>
      <t>物业管理费</t>
    </r>
  </si>
  <si>
    <r>
      <t xml:space="preserve">     </t>
    </r>
    <r>
      <rPr>
        <sz val="8.85"/>
        <rFont val="宋体"/>
        <family val="0"/>
      </rPr>
      <t xml:space="preserve"> </t>
    </r>
    <r>
      <rPr>
        <sz val="8.85"/>
        <rFont val="宋体"/>
        <family val="0"/>
      </rPr>
      <t>水电费</t>
    </r>
  </si>
  <si>
    <r>
      <t xml:space="preserve">     </t>
    </r>
    <r>
      <rPr>
        <sz val="8.85"/>
        <rFont val="宋体"/>
        <family val="0"/>
      </rPr>
      <t xml:space="preserve"> </t>
    </r>
    <r>
      <rPr>
        <sz val="8.85"/>
        <rFont val="宋体"/>
        <family val="0"/>
      </rPr>
      <t>劳动保险费</t>
    </r>
  </si>
  <si>
    <r>
      <t xml:space="preserve">    </t>
    </r>
    <r>
      <rPr>
        <sz val="8.85"/>
        <rFont val="宋体"/>
        <family val="0"/>
      </rPr>
      <t xml:space="preserve"> </t>
    </r>
    <r>
      <rPr>
        <sz val="8.85"/>
        <rFont val="宋体"/>
        <family val="0"/>
      </rPr>
      <t xml:space="preserve"> 运输费</t>
    </r>
  </si>
  <si>
    <r>
      <t xml:space="preserve">      </t>
    </r>
    <r>
      <rPr>
        <sz val="8.85"/>
        <rFont val="宋体"/>
        <family val="0"/>
      </rPr>
      <t>办公上网费（邮电）</t>
    </r>
  </si>
  <si>
    <t xml:space="preserve">      劳务费</t>
  </si>
  <si>
    <r>
      <t xml:space="preserve">     </t>
    </r>
    <r>
      <rPr>
        <sz val="8.85"/>
        <rFont val="宋体"/>
        <family val="0"/>
      </rPr>
      <t xml:space="preserve"> </t>
    </r>
    <r>
      <rPr>
        <sz val="8.85"/>
        <rFont val="宋体"/>
        <family val="0"/>
      </rPr>
      <t>资料费</t>
    </r>
  </si>
  <si>
    <r>
      <t xml:space="preserve">     </t>
    </r>
    <r>
      <rPr>
        <sz val="8.85"/>
        <rFont val="宋体"/>
        <family val="0"/>
      </rPr>
      <t xml:space="preserve"> </t>
    </r>
    <r>
      <rPr>
        <sz val="8.85"/>
        <rFont val="宋体"/>
        <family val="0"/>
      </rPr>
      <t>设备租赁费</t>
    </r>
  </si>
  <si>
    <r>
      <t xml:space="preserve">     </t>
    </r>
    <r>
      <rPr>
        <sz val="8.85"/>
        <rFont val="宋体"/>
        <family val="0"/>
      </rPr>
      <t xml:space="preserve"> </t>
    </r>
    <r>
      <rPr>
        <sz val="8.85"/>
        <rFont val="宋体"/>
        <family val="0"/>
      </rPr>
      <t>设备维修费</t>
    </r>
  </si>
  <si>
    <r>
      <t xml:space="preserve">      </t>
    </r>
    <r>
      <rPr>
        <sz val="8.85"/>
        <rFont val="宋体"/>
        <family val="0"/>
      </rPr>
      <t>培训</t>
    </r>
    <r>
      <rPr>
        <sz val="8.85"/>
        <rFont val="宋体"/>
        <family val="0"/>
      </rPr>
      <t>/考察</t>
    </r>
    <r>
      <rPr>
        <sz val="8.85"/>
        <rFont val="宋体"/>
        <family val="0"/>
      </rPr>
      <t>费</t>
    </r>
  </si>
  <si>
    <r>
      <t xml:space="preserve">     </t>
    </r>
    <r>
      <rPr>
        <sz val="8.85"/>
        <rFont val="宋体"/>
        <family val="0"/>
      </rPr>
      <t xml:space="preserve"> </t>
    </r>
    <r>
      <rPr>
        <sz val="8.85"/>
        <rFont val="宋体"/>
        <family val="0"/>
      </rPr>
      <t>会务费</t>
    </r>
  </si>
  <si>
    <r>
      <t xml:space="preserve">     </t>
    </r>
    <r>
      <rPr>
        <sz val="8.85"/>
        <rFont val="宋体"/>
        <family val="0"/>
      </rPr>
      <t xml:space="preserve"> </t>
    </r>
    <r>
      <rPr>
        <sz val="8.85"/>
        <rFont val="宋体"/>
        <family val="0"/>
      </rPr>
      <t>招聘解聘费</t>
    </r>
  </si>
  <si>
    <t xml:space="preserve">      公司经费</t>
  </si>
  <si>
    <t xml:space="preserve">        资产评估费</t>
  </si>
  <si>
    <r>
      <t xml:space="preserve">           </t>
    </r>
    <r>
      <rPr>
        <sz val="10"/>
        <rFont val="宋体"/>
        <family val="0"/>
      </rPr>
      <t>审计费</t>
    </r>
  </si>
  <si>
    <r>
      <t xml:space="preserve">           </t>
    </r>
    <r>
      <rPr>
        <sz val="10"/>
        <rFont val="宋体"/>
        <family val="0"/>
      </rPr>
      <t>代理服务费</t>
    </r>
  </si>
  <si>
    <r>
      <t xml:space="preserve">           </t>
    </r>
    <r>
      <rPr>
        <sz val="10"/>
        <rFont val="宋体"/>
        <family val="0"/>
      </rPr>
      <t>咨询策划费</t>
    </r>
  </si>
  <si>
    <r>
      <t xml:space="preserve">           </t>
    </r>
    <r>
      <rPr>
        <sz val="10"/>
        <rFont val="宋体"/>
        <family val="0"/>
      </rPr>
      <t>认证</t>
    </r>
    <r>
      <rPr>
        <sz val="10"/>
        <rFont val="Arial"/>
        <family val="2"/>
      </rPr>
      <t>/</t>
    </r>
    <r>
      <rPr>
        <sz val="10"/>
        <rFont val="宋体"/>
        <family val="0"/>
      </rPr>
      <t>招商</t>
    </r>
    <r>
      <rPr>
        <sz val="10"/>
        <rFont val="宋体"/>
        <family val="0"/>
      </rPr>
      <t>费</t>
    </r>
  </si>
  <si>
    <r>
      <t xml:space="preserve">        </t>
    </r>
    <r>
      <rPr>
        <sz val="10"/>
        <rFont val="宋体"/>
        <family val="0"/>
      </rPr>
      <t>董事会费</t>
    </r>
  </si>
  <si>
    <r>
      <t xml:space="preserve">        </t>
    </r>
    <r>
      <rPr>
        <sz val="10"/>
        <rFont val="宋体"/>
        <family val="0"/>
      </rPr>
      <t>企业文化建设</t>
    </r>
  </si>
  <si>
    <r>
      <t xml:space="preserve">           </t>
    </r>
    <r>
      <rPr>
        <sz val="10"/>
        <rFont val="宋体"/>
        <family val="0"/>
      </rPr>
      <t>企业宣传</t>
    </r>
  </si>
  <si>
    <r>
      <t xml:space="preserve">           </t>
    </r>
    <r>
      <rPr>
        <sz val="10"/>
        <rFont val="宋体"/>
        <family val="0"/>
      </rPr>
      <t>企业党建</t>
    </r>
  </si>
  <si>
    <r>
      <t xml:space="preserve">           </t>
    </r>
    <r>
      <rPr>
        <sz val="10"/>
        <rFont val="宋体"/>
        <family val="0"/>
      </rPr>
      <t>安全生产</t>
    </r>
  </si>
  <si>
    <r>
      <t xml:space="preserve">           </t>
    </r>
    <r>
      <rPr>
        <sz val="10"/>
        <rFont val="宋体"/>
        <family val="0"/>
      </rPr>
      <t>信访维稳</t>
    </r>
  </si>
  <si>
    <r>
      <t xml:space="preserve">           </t>
    </r>
    <r>
      <rPr>
        <sz val="10"/>
        <rFont val="宋体"/>
        <family val="0"/>
      </rPr>
      <t>禁毒扶贫</t>
    </r>
  </si>
  <si>
    <r>
      <t xml:space="preserve">           </t>
    </r>
    <r>
      <rPr>
        <sz val="10"/>
        <rFont val="宋体"/>
        <family val="0"/>
      </rPr>
      <t>困难慰问</t>
    </r>
  </si>
  <si>
    <r>
      <t xml:space="preserve">           </t>
    </r>
    <r>
      <rPr>
        <sz val="10"/>
        <rFont val="宋体"/>
        <family val="0"/>
      </rPr>
      <t>文化建设</t>
    </r>
  </si>
  <si>
    <r>
      <t xml:space="preserve">           </t>
    </r>
    <r>
      <rPr>
        <sz val="10"/>
        <rFont val="宋体"/>
        <family val="0"/>
      </rPr>
      <t>其他</t>
    </r>
  </si>
  <si>
    <r>
      <t xml:space="preserve">       </t>
    </r>
    <r>
      <rPr>
        <sz val="10"/>
        <rFont val="宋体"/>
        <family val="0"/>
      </rPr>
      <t>诉讼费</t>
    </r>
  </si>
  <si>
    <r>
      <t xml:space="preserve">       </t>
    </r>
    <r>
      <rPr>
        <sz val="10"/>
        <rFont val="宋体"/>
        <family val="0"/>
      </rPr>
      <t>执纪办案</t>
    </r>
  </si>
  <si>
    <r>
      <t xml:space="preserve">       </t>
    </r>
    <r>
      <rPr>
        <sz val="10"/>
        <rFont val="宋体"/>
        <family val="0"/>
      </rPr>
      <t>误餐费</t>
    </r>
  </si>
  <si>
    <r>
      <t xml:space="preserve">       </t>
    </r>
    <r>
      <rPr>
        <sz val="10"/>
        <rFont val="宋体"/>
        <family val="0"/>
      </rPr>
      <t>其他</t>
    </r>
  </si>
  <si>
    <r>
      <t xml:space="preserve">    </t>
    </r>
    <r>
      <rPr>
        <sz val="10"/>
        <rFont val="宋体"/>
        <family val="0"/>
      </rPr>
      <t>研发费用转入</t>
    </r>
  </si>
  <si>
    <r>
      <t xml:space="preserve">    </t>
    </r>
    <r>
      <rPr>
        <sz val="10"/>
        <rFont val="宋体"/>
        <family val="0"/>
      </rPr>
      <t>摊销性费用</t>
    </r>
  </si>
  <si>
    <t xml:space="preserve">        低值易耗品摊销</t>
  </si>
  <si>
    <t xml:space="preserve">        长期待摊费用摊销</t>
  </si>
  <si>
    <t xml:space="preserve">        存货盘亏和毁损</t>
  </si>
  <si>
    <t>财务费用预算表</t>
  </si>
  <si>
    <t>财务费用合计</t>
  </si>
  <si>
    <t xml:space="preserve">    利息收入（按负数列示）</t>
  </si>
  <si>
    <t xml:space="preserve">    利息支出</t>
  </si>
  <si>
    <t xml:space="preserve">    手续费</t>
  </si>
  <si>
    <r>
      <t xml:space="preserve"> </t>
    </r>
    <r>
      <rPr>
        <sz val="8.85"/>
        <rFont val="宋体"/>
        <family val="0"/>
      </rPr>
      <t xml:space="preserve">   账户管理费</t>
    </r>
  </si>
  <si>
    <t xml:space="preserve">    汇兑损益</t>
  </si>
  <si>
    <t>资产负债预算表（一）</t>
  </si>
  <si>
    <t>资产</t>
  </si>
  <si>
    <t>行次</t>
  </si>
  <si>
    <t>年初数</t>
  </si>
  <si>
    <t>期末数（1-9月份）</t>
  </si>
  <si>
    <t>期末数</t>
  </si>
  <si>
    <t>流动资产：</t>
  </si>
  <si>
    <t xml:space="preserve">    货币资金</t>
  </si>
  <si>
    <t xml:space="preserve">    交易性金融资产</t>
  </si>
  <si>
    <t xml:space="preserve">    应收票据</t>
  </si>
  <si>
    <t xml:space="preserve">    应收账款</t>
  </si>
  <si>
    <t xml:space="preserve">    预付账款</t>
  </si>
  <si>
    <t xml:space="preserve">    应收股利</t>
  </si>
  <si>
    <t xml:space="preserve">    应收利息</t>
  </si>
  <si>
    <t xml:space="preserve">    其他应收款</t>
  </si>
  <si>
    <t xml:space="preserve">    存货</t>
  </si>
  <si>
    <t xml:space="preserve">    一年内到期的非流动资产</t>
  </si>
  <si>
    <t xml:space="preserve">    其他流动资产</t>
  </si>
  <si>
    <t xml:space="preserve">    流动资产合计</t>
  </si>
  <si>
    <t>非流动资产：</t>
  </si>
  <si>
    <t xml:space="preserve">    可供出售金融资产</t>
  </si>
  <si>
    <t xml:space="preserve">    持有至到期投资</t>
  </si>
  <si>
    <t xml:space="preserve">    长期应收款</t>
  </si>
  <si>
    <t xml:space="preserve">    长期股权投资</t>
  </si>
  <si>
    <t xml:space="preserve">    投资性房地产</t>
  </si>
  <si>
    <t xml:space="preserve">    固定资产原值</t>
  </si>
  <si>
    <t xml:space="preserve">        减：累计折旧</t>
  </si>
  <si>
    <t xml:space="preserve">    固定资产净值</t>
  </si>
  <si>
    <t xml:space="preserve">        减：固定资产减值准备</t>
  </si>
  <si>
    <t>21</t>
  </si>
  <si>
    <t xml:space="preserve">    固定资产净额</t>
  </si>
  <si>
    <t>22</t>
  </si>
  <si>
    <t xml:space="preserve">    在建工程</t>
  </si>
  <si>
    <t>23</t>
  </si>
  <si>
    <t xml:space="preserve">    工程物资</t>
  </si>
  <si>
    <t>24</t>
  </si>
  <si>
    <t xml:space="preserve">    固定资产清理</t>
  </si>
  <si>
    <t>25</t>
  </si>
  <si>
    <t xml:space="preserve">    生物资产原值</t>
  </si>
  <si>
    <t>26</t>
  </si>
  <si>
    <t xml:space="preserve">        减：生物资产累计折旧</t>
  </si>
  <si>
    <t>27</t>
  </si>
  <si>
    <t xml:space="preserve">    生物资产净值</t>
  </si>
  <si>
    <t>28</t>
  </si>
  <si>
    <t xml:space="preserve">        减：生物资产减值准备</t>
  </si>
  <si>
    <t>29</t>
  </si>
  <si>
    <t xml:space="preserve">    生物资产净额</t>
  </si>
  <si>
    <t>30</t>
  </si>
  <si>
    <t xml:space="preserve">    无形资产</t>
  </si>
  <si>
    <t>31</t>
  </si>
  <si>
    <t xml:space="preserve">    开发支出</t>
  </si>
  <si>
    <t>32</t>
  </si>
  <si>
    <t xml:space="preserve">    商誉</t>
  </si>
  <si>
    <t>33</t>
  </si>
  <si>
    <t xml:space="preserve">    长期待摊费用</t>
  </si>
  <si>
    <t>34</t>
  </si>
  <si>
    <t xml:space="preserve">    其他非流动资产</t>
  </si>
  <si>
    <t>35</t>
  </si>
  <si>
    <t xml:space="preserve">    非流动资产合计</t>
  </si>
  <si>
    <t>36</t>
  </si>
  <si>
    <t>资产总计：</t>
  </si>
  <si>
    <t>37</t>
  </si>
  <si>
    <t>审核人：</t>
  </si>
  <si>
    <t>资产负债预算表（二）</t>
  </si>
  <si>
    <t>流动负债</t>
  </si>
  <si>
    <t xml:space="preserve">    短期借款</t>
  </si>
  <si>
    <t>38</t>
  </si>
  <si>
    <t xml:space="preserve">    交易性金融负债</t>
  </si>
  <si>
    <t>39</t>
  </si>
  <si>
    <t xml:space="preserve">    应付票据</t>
  </si>
  <si>
    <t>40</t>
  </si>
  <si>
    <t xml:space="preserve">    应付账款</t>
  </si>
  <si>
    <t>41</t>
  </si>
  <si>
    <t xml:space="preserve">    预收账款</t>
  </si>
  <si>
    <t>42</t>
  </si>
  <si>
    <t xml:space="preserve">    应付职工薪酬</t>
  </si>
  <si>
    <t>43</t>
  </si>
  <si>
    <t xml:space="preserve">        其中：应付工资</t>
  </si>
  <si>
    <t>44</t>
  </si>
  <si>
    <t xml:space="preserve">              应付福利费</t>
  </si>
  <si>
    <t>45</t>
  </si>
  <si>
    <t xml:space="preserve">    应交税费</t>
  </si>
  <si>
    <t>46</t>
  </si>
  <si>
    <t xml:space="preserve">    应付利息</t>
  </si>
  <si>
    <t>47</t>
  </si>
  <si>
    <t xml:space="preserve">    应付股利（应付利润）</t>
  </si>
  <si>
    <t>48</t>
  </si>
  <si>
    <t xml:space="preserve">    其他应付款</t>
  </si>
  <si>
    <t>49</t>
  </si>
  <si>
    <t xml:space="preserve">    一年内到期的非流动负债</t>
  </si>
  <si>
    <t>50</t>
  </si>
  <si>
    <t xml:space="preserve">    其他流动负债</t>
  </si>
  <si>
    <t>51</t>
  </si>
  <si>
    <t xml:space="preserve">    流动负债合计</t>
  </si>
  <si>
    <t>52</t>
  </si>
  <si>
    <t>非流动负债</t>
  </si>
  <si>
    <t xml:space="preserve">    长期借款</t>
  </si>
  <si>
    <t>53</t>
  </si>
  <si>
    <t xml:space="preserve">    应付债券</t>
  </si>
  <si>
    <t>54</t>
  </si>
  <si>
    <t xml:space="preserve">    长期应付款</t>
  </si>
  <si>
    <t>55</t>
  </si>
  <si>
    <t xml:space="preserve">    专项应付款</t>
  </si>
  <si>
    <t>56</t>
  </si>
  <si>
    <t xml:space="preserve">    预计负债</t>
  </si>
  <si>
    <t>57</t>
  </si>
  <si>
    <t xml:space="preserve">    递延所得税负债</t>
  </si>
  <si>
    <t>58</t>
  </si>
  <si>
    <t xml:space="preserve">    其他非流动负债</t>
  </si>
  <si>
    <t>59</t>
  </si>
  <si>
    <t xml:space="preserve">    非流动负债合计</t>
  </si>
  <si>
    <t>60</t>
  </si>
  <si>
    <t xml:space="preserve">    负债合计</t>
  </si>
  <si>
    <t>61</t>
  </si>
  <si>
    <t>所有者权益</t>
  </si>
  <si>
    <t xml:space="preserve">    实收资本（股本）</t>
  </si>
  <si>
    <t>62</t>
  </si>
  <si>
    <t xml:space="preserve">    资本公积</t>
  </si>
  <si>
    <t>63</t>
  </si>
  <si>
    <t xml:space="preserve">    盈余公积</t>
  </si>
  <si>
    <t>64</t>
  </si>
  <si>
    <t xml:space="preserve">    未分配利润</t>
  </si>
  <si>
    <t>65</t>
  </si>
  <si>
    <t xml:space="preserve">    归属于母公司所有者权益合计</t>
  </si>
  <si>
    <t>66</t>
  </si>
  <si>
    <t xml:space="preserve">    少数股东权益</t>
  </si>
  <si>
    <t>67</t>
  </si>
  <si>
    <t xml:space="preserve">    所有者权益合计</t>
  </si>
  <si>
    <t>68</t>
  </si>
  <si>
    <t>负债及所有者权益合计</t>
  </si>
  <si>
    <t>69</t>
  </si>
  <si>
    <t>利润预算表</t>
  </si>
  <si>
    <t>营业收入</t>
  </si>
  <si>
    <t xml:space="preserve">    主营业务收入</t>
  </si>
  <si>
    <t>营业成本</t>
  </si>
  <si>
    <t xml:space="preserve">    主营业务成本</t>
  </si>
  <si>
    <t>税金及附加</t>
  </si>
  <si>
    <t>期间费用</t>
  </si>
  <si>
    <t xml:space="preserve">    销售费用</t>
  </si>
  <si>
    <t xml:space="preserve">    管理费用</t>
  </si>
  <si>
    <t xml:space="preserve">    财务费用</t>
  </si>
  <si>
    <t>经营净收入</t>
  </si>
  <si>
    <t xml:space="preserve">    减：资产减值损失</t>
  </si>
  <si>
    <t xml:space="preserve">    加：公允价值变动收益(损失以“-”填列）</t>
  </si>
  <si>
    <t xml:space="preserve">        投资收益（损失以“-”填列）</t>
  </si>
  <si>
    <t>营业利润</t>
  </si>
  <si>
    <t xml:space="preserve">    加：营业外收入</t>
  </si>
  <si>
    <t xml:space="preserve">    减：营业外支出</t>
  </si>
  <si>
    <t>利润总额</t>
  </si>
  <si>
    <t xml:space="preserve">    减：所得税费用</t>
  </si>
  <si>
    <t>净利润</t>
  </si>
  <si>
    <t xml:space="preserve">    减：弥补上年亏损</t>
  </si>
  <si>
    <t xml:space="preserve">        提取法定公积金</t>
  </si>
  <si>
    <t xml:space="preserve">        提取任意公积金</t>
  </si>
  <si>
    <t xml:space="preserve">        分配现金股利（利润）</t>
  </si>
  <si>
    <t>未分配利润</t>
  </si>
  <si>
    <t>利润分配预算表</t>
  </si>
  <si>
    <t>上年数（2021年）</t>
  </si>
  <si>
    <t>预计分配月份（格式****-**）</t>
  </si>
  <si>
    <t>合计数（1-12月）</t>
  </si>
  <si>
    <t>一、净利润</t>
  </si>
  <si>
    <t xml:space="preserve">    加：年初未分配利润</t>
  </si>
  <si>
    <t xml:space="preserve">        盈余公积补亏</t>
  </si>
  <si>
    <t xml:space="preserve">        其他因素调整</t>
  </si>
  <si>
    <t>二、可供分配的利润</t>
  </si>
  <si>
    <t xml:space="preserve">    减：提取法定盈余公积</t>
  </si>
  <si>
    <t xml:space="preserve">        提取法定公益金</t>
  </si>
  <si>
    <t xml:space="preserve">        其他项目</t>
  </si>
  <si>
    <t>三、可供投资者分配的利润</t>
  </si>
  <si>
    <t xml:space="preserve">    减：应付优先股股利</t>
  </si>
  <si>
    <t xml:space="preserve">        提取任意盈余公积</t>
  </si>
  <si>
    <t xml:space="preserve">        应付普通股股利或应付利润</t>
  </si>
  <si>
    <t xml:space="preserve">        转作资本的普通股股利</t>
  </si>
  <si>
    <t>四、未分配利润</t>
  </si>
  <si>
    <t>五、母公司占全部股份比例</t>
  </si>
  <si>
    <t>资金预算表总表</t>
  </si>
  <si>
    <t>资金期初余额</t>
  </si>
  <si>
    <t xml:space="preserve">    现金</t>
  </si>
  <si>
    <r>
      <t xml:space="preserve">    银行存款-基本户（农行</t>
    </r>
    <r>
      <rPr>
        <sz val="8.85"/>
        <rFont val="宋体"/>
        <family val="0"/>
      </rPr>
      <t>02549）</t>
    </r>
  </si>
  <si>
    <r>
      <t xml:space="preserve">    银行存款-一般户（中信</t>
    </r>
    <r>
      <rPr>
        <sz val="8.85"/>
        <rFont val="宋体"/>
        <family val="0"/>
      </rPr>
      <t>49766）</t>
    </r>
  </si>
  <si>
    <r>
      <t xml:space="preserve">    银行存款-一般户（光大</t>
    </r>
    <r>
      <rPr>
        <sz val="8.85"/>
        <rFont val="宋体"/>
        <family val="0"/>
      </rPr>
      <t>46205）</t>
    </r>
  </si>
  <si>
    <t xml:space="preserve">    银行存款-专户</t>
  </si>
  <si>
    <t xml:space="preserve">    银行存款-共管户</t>
  </si>
  <si>
    <t xml:space="preserve">    其他货币资金</t>
  </si>
  <si>
    <t xml:space="preserve">    经营活动产生的现金净流量</t>
  </si>
  <si>
    <t xml:space="preserve">        经营活动产生的现金流量现金流入小计</t>
  </si>
  <si>
    <t xml:space="preserve">            销售商品、提供劳务收到的现金</t>
  </si>
  <si>
    <t xml:space="preserve">            收到的税费返还</t>
  </si>
  <si>
    <t xml:space="preserve">            收到的其他与经营活动有关的现金</t>
  </si>
  <si>
    <t xml:space="preserve">        经营活动产生的现金流量现金流出小计</t>
  </si>
  <si>
    <t xml:space="preserve">            购买商品、接受劳务支付的现金</t>
  </si>
  <si>
    <t xml:space="preserve">            支付给职工以及为职工支付的现金</t>
  </si>
  <si>
    <t xml:space="preserve">            支付的各项税费</t>
  </si>
  <si>
    <t xml:space="preserve">            支付的其他与经营活动有关的现金</t>
  </si>
  <si>
    <t xml:space="preserve">    投资活动产生的现金净流量</t>
  </si>
  <si>
    <t xml:space="preserve">        投资活动产生的现金流量现金流入小计</t>
  </si>
  <si>
    <t xml:space="preserve">            收回投资所收到的现金</t>
  </si>
  <si>
    <t xml:space="preserve">            取得投资收益所收到的现金</t>
  </si>
  <si>
    <t xml:space="preserve">            处置固定资产、无形资产和其他长期资产所收回的现金净额</t>
  </si>
  <si>
    <t xml:space="preserve">            处置子公司及其他营业单位收到的现金净额</t>
  </si>
  <si>
    <t xml:space="preserve">            收到的其他与投资活动有关的现金</t>
  </si>
  <si>
    <t xml:space="preserve">        投资活动产生的现金流量现金流出小计</t>
  </si>
  <si>
    <t xml:space="preserve">            购建固定资产、无形资产和其他长期资产所支付的现金</t>
  </si>
  <si>
    <t xml:space="preserve">            投资所支付的现金</t>
  </si>
  <si>
    <t xml:space="preserve">            取得子公司及其他营业单位支付的现金净额</t>
  </si>
  <si>
    <t xml:space="preserve">            支付的其他与投资活动有关的现金</t>
  </si>
  <si>
    <t xml:space="preserve">    筹资活动产生的现金净流量</t>
  </si>
  <si>
    <t xml:space="preserve">        筹资活动产生的现金流量现金流入小计</t>
  </si>
  <si>
    <t xml:space="preserve">            吸收投资所收到的现金</t>
  </si>
  <si>
    <t xml:space="preserve">            借款所收到的现金</t>
  </si>
  <si>
    <t xml:space="preserve">            收到的其他与筹资活动有关的现金</t>
  </si>
  <si>
    <t xml:space="preserve">        筹资活动产生的现金流量现金流出小计</t>
  </si>
  <si>
    <t xml:space="preserve">            偿还债务所支付的现金</t>
  </si>
  <si>
    <t xml:space="preserve">            分配股利、利润和偿付利息所支付的现金</t>
  </si>
  <si>
    <t xml:space="preserve">            支付的其他与筹资活动有关的现金</t>
  </si>
  <si>
    <t xml:space="preserve">    汇率变动对现金的影响</t>
  </si>
  <si>
    <t>现金及现金等价物净增加额</t>
  </si>
  <si>
    <t>期末货币资金</t>
  </si>
  <si>
    <t>经营活动现金流量预算表</t>
  </si>
  <si>
    <t>经营活动产生的现金流量</t>
  </si>
  <si>
    <t xml:space="preserve">    经营活动产生的现金流量现金流入小计</t>
  </si>
  <si>
    <t xml:space="preserve">        销售商品、提供劳务收到的现金</t>
  </si>
  <si>
    <t xml:space="preserve">        收到的税费返还</t>
  </si>
  <si>
    <t xml:space="preserve">        收到的其他与经营活动有关的现金</t>
  </si>
  <si>
    <t xml:space="preserve">        其他流入</t>
  </si>
  <si>
    <r>
      <t xml:space="preserve">        财政</t>
    </r>
    <r>
      <rPr>
        <sz val="8.85"/>
        <rFont val="宋体"/>
        <family val="0"/>
      </rPr>
      <t>拨入</t>
    </r>
  </si>
  <si>
    <t xml:space="preserve">        上级拨入</t>
  </si>
  <si>
    <t xml:space="preserve">        下级公司划入</t>
  </si>
  <si>
    <t xml:space="preserve">        同级公司划入</t>
  </si>
  <si>
    <t xml:space="preserve">    经营活动产生的现金流量现金流出小计</t>
  </si>
  <si>
    <t xml:space="preserve">        购买商品、接受劳务支付的现金</t>
  </si>
  <si>
    <t xml:space="preserve">        支付给职工以及为职工支付的现金</t>
  </si>
  <si>
    <t xml:space="preserve">            工资</t>
  </si>
  <si>
    <t xml:space="preserve">            履职待遇</t>
  </si>
  <si>
    <t xml:space="preserve">            福利费用</t>
  </si>
  <si>
    <t xml:space="preserve">            社保费用</t>
  </si>
  <si>
    <t xml:space="preserve">            住房公积金</t>
  </si>
  <si>
    <t xml:space="preserve">            工会经费、教育经费及其他</t>
  </si>
  <si>
    <t xml:space="preserve">        支付的各项税费</t>
  </si>
  <si>
    <t xml:space="preserve">            税金及附加</t>
  </si>
  <si>
    <t xml:space="preserve">            企业所得税</t>
  </si>
  <si>
    <t xml:space="preserve">            个人所得税</t>
  </si>
  <si>
    <t xml:space="preserve">            增值税</t>
  </si>
  <si>
    <t xml:space="preserve">            其他税费</t>
  </si>
  <si>
    <t xml:space="preserve">        支付的其他与经营活动有关的现金</t>
  </si>
  <si>
    <t xml:space="preserve">            办公费</t>
  </si>
  <si>
    <t xml:space="preserve">            差旅费</t>
  </si>
  <si>
    <t xml:space="preserve">            业务招待费</t>
  </si>
  <si>
    <t xml:space="preserve">            通讯费</t>
  </si>
  <si>
    <t xml:space="preserve">            车辆费用</t>
  </si>
  <si>
    <r>
      <t xml:space="preserve">     </t>
    </r>
    <r>
      <rPr>
        <sz val="8.85"/>
        <rFont val="宋体"/>
        <family val="0"/>
      </rPr>
      <t xml:space="preserve">      </t>
    </r>
    <r>
      <rPr>
        <sz val="8.85"/>
        <rFont val="宋体"/>
        <family val="0"/>
      </rPr>
      <t xml:space="preserve"> 水电费</t>
    </r>
  </si>
  <si>
    <r>
      <t xml:space="preserve">     </t>
    </r>
    <r>
      <rPr>
        <sz val="8.85"/>
        <rFont val="宋体"/>
        <family val="0"/>
      </rPr>
      <t xml:space="preserve">      </t>
    </r>
    <r>
      <rPr>
        <sz val="8.85"/>
        <rFont val="宋体"/>
        <family val="0"/>
      </rPr>
      <t xml:space="preserve"> 办公上网费（邮电）</t>
    </r>
  </si>
  <si>
    <t xml:space="preserve">            劳务费</t>
  </si>
  <si>
    <r>
      <t xml:space="preserve">     </t>
    </r>
    <r>
      <rPr>
        <sz val="8.85"/>
        <rFont val="宋体"/>
        <family val="0"/>
      </rPr>
      <t xml:space="preserve">      </t>
    </r>
    <r>
      <rPr>
        <sz val="8.85"/>
        <rFont val="宋体"/>
        <family val="0"/>
      </rPr>
      <t xml:space="preserve"> 资料费</t>
    </r>
  </si>
  <si>
    <r>
      <t xml:space="preserve">      </t>
    </r>
    <r>
      <rPr>
        <sz val="8.85"/>
        <rFont val="宋体"/>
        <family val="0"/>
      </rPr>
      <t xml:space="preserve">      </t>
    </r>
    <r>
      <rPr>
        <sz val="8.85"/>
        <rFont val="宋体"/>
        <family val="0"/>
      </rPr>
      <t>设备维修费</t>
    </r>
  </si>
  <si>
    <r>
      <t xml:space="preserve">            </t>
    </r>
    <r>
      <rPr>
        <sz val="8.85"/>
        <rFont val="宋体"/>
        <family val="0"/>
      </rPr>
      <t>培训/考察费</t>
    </r>
  </si>
  <si>
    <r>
      <t xml:space="preserve">            </t>
    </r>
    <r>
      <rPr>
        <sz val="8.85"/>
        <rFont val="宋体"/>
        <family val="0"/>
      </rPr>
      <t>会务费</t>
    </r>
  </si>
  <si>
    <r>
      <t xml:space="preserve">      </t>
    </r>
    <r>
      <rPr>
        <sz val="8.85"/>
        <rFont val="宋体"/>
        <family val="0"/>
      </rPr>
      <t xml:space="preserve">     </t>
    </r>
    <r>
      <rPr>
        <sz val="8.85"/>
        <rFont val="宋体"/>
        <family val="0"/>
      </rPr>
      <t>招聘解聘费</t>
    </r>
  </si>
  <si>
    <r>
      <t xml:space="preserve">      </t>
    </r>
    <r>
      <rPr>
        <sz val="8.85"/>
        <rFont val="宋体"/>
        <family val="0"/>
      </rPr>
      <t xml:space="preserve">     </t>
    </r>
    <r>
      <rPr>
        <sz val="8.85"/>
        <rFont val="宋体"/>
        <family val="0"/>
      </rPr>
      <t>公司经费</t>
    </r>
  </si>
  <si>
    <r>
      <t xml:space="preserve">                </t>
    </r>
    <r>
      <rPr>
        <sz val="10"/>
        <rFont val="宋体"/>
        <family val="0"/>
      </rPr>
      <t>董事会费</t>
    </r>
  </si>
  <si>
    <r>
      <t xml:space="preserve">               </t>
    </r>
    <r>
      <rPr>
        <sz val="10"/>
        <rFont val="宋体"/>
        <family val="0"/>
      </rPr>
      <t>企业文化建设</t>
    </r>
  </si>
  <si>
    <r>
      <t xml:space="preserve">               </t>
    </r>
    <r>
      <rPr>
        <sz val="10"/>
        <rFont val="宋体"/>
        <family val="0"/>
      </rPr>
      <t>诉讼费</t>
    </r>
  </si>
  <si>
    <r>
      <t xml:space="preserve">               </t>
    </r>
    <r>
      <rPr>
        <sz val="10"/>
        <rFont val="宋体"/>
        <family val="0"/>
      </rPr>
      <t>执纪办案</t>
    </r>
  </si>
  <si>
    <r>
      <t xml:space="preserve">               </t>
    </r>
    <r>
      <rPr>
        <sz val="10"/>
        <rFont val="宋体"/>
        <family val="0"/>
      </rPr>
      <t>误餐费</t>
    </r>
  </si>
  <si>
    <r>
      <t xml:space="preserve">              </t>
    </r>
    <r>
      <rPr>
        <sz val="10"/>
        <rFont val="宋体"/>
        <family val="0"/>
      </rPr>
      <t>其他</t>
    </r>
  </si>
  <si>
    <r>
      <t xml:space="preserve">       划入</t>
    </r>
    <r>
      <rPr>
        <sz val="8.85"/>
        <rFont val="宋体"/>
        <family val="0"/>
      </rPr>
      <t>上级公司</t>
    </r>
  </si>
  <si>
    <t xml:space="preserve">       划入下级公司</t>
  </si>
  <si>
    <t xml:space="preserve">       划入同级公司</t>
  </si>
  <si>
    <t>投资活动现金流量预算表</t>
  </si>
  <si>
    <t>投资活动产生的现金流量</t>
  </si>
  <si>
    <t xml:space="preserve">    投资活动产生的现金流量现金流入小计</t>
  </si>
  <si>
    <t xml:space="preserve">        收回投资所收到的现金</t>
  </si>
  <si>
    <t xml:space="preserve">        取得投资收益所收到的现金</t>
  </si>
  <si>
    <t xml:space="preserve">        处置固定资产、无形资产和其他长期资产所收回的现金净额</t>
  </si>
  <si>
    <t xml:space="preserve">        处置子公司及其他营业单位收到的现金净额</t>
  </si>
  <si>
    <t xml:space="preserve">        收到的其他与投资活动有关的现金</t>
  </si>
  <si>
    <t xml:space="preserve">    投资活动产生的现金流量现金流出小计</t>
  </si>
  <si>
    <t xml:space="preserve">        购建固定资产、无形资产和其他长期资产所支付的现金</t>
  </si>
  <si>
    <t xml:space="preserve">            房屋、建筑物</t>
  </si>
  <si>
    <t xml:space="preserve">            交通运输设备</t>
  </si>
  <si>
    <t xml:space="preserve">            电器设备</t>
  </si>
  <si>
    <t xml:space="preserve">            机械设备</t>
  </si>
  <si>
    <t xml:space="preserve">            办公家具</t>
  </si>
  <si>
    <t xml:space="preserve">            融资租赁设备</t>
  </si>
  <si>
    <t xml:space="preserve">            无形资产</t>
  </si>
  <si>
    <t xml:space="preserve">            生物性资产</t>
  </si>
  <si>
    <t xml:space="preserve">            其他设备</t>
  </si>
  <si>
    <t xml:space="preserve">        投资所支付的现金</t>
  </si>
  <si>
    <t xml:space="preserve">        取得子公司及其他营业单位支付的现金净额</t>
  </si>
  <si>
    <t xml:space="preserve">        支付的其他与投资活动有关的现金</t>
  </si>
  <si>
    <t>筹资活动现金流量预算表</t>
  </si>
  <si>
    <t>筹资活动产生的现金流量</t>
  </si>
  <si>
    <t xml:space="preserve">    筹资活动产生的现金流量现金流入小计</t>
  </si>
  <si>
    <t xml:space="preserve">        吸收投资所收到的现金</t>
  </si>
  <si>
    <t xml:space="preserve">        借款所收到的现金</t>
  </si>
  <si>
    <t xml:space="preserve">        收到的其他与筹资活动有关的现金</t>
  </si>
  <si>
    <t xml:space="preserve">    筹资活动产生的现金流量现金流出小计</t>
  </si>
  <si>
    <t xml:space="preserve">        偿还债务所支付的现金</t>
  </si>
  <si>
    <t xml:space="preserve">        分配股利、利润和偿付利息所支付的现金</t>
  </si>
  <si>
    <t xml:space="preserve">        支付的其他与筹资活动有关的现金</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</si>
</sst>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 ??/??"/>
    <numFmt numFmtId="180" formatCode="_(* #,##0_);_(* \(#,##0\);_(* &quot;-&quot;_);_(@_)"/>
    <numFmt numFmtId="181" formatCode="0.00000000"/>
    <numFmt numFmtId="182" formatCode="0.000000"/>
    <numFmt numFmtId="183" formatCode="0.0000000"/>
    <numFmt numFmtId="184" formatCode="0.00_);[Red]\(0.00\)"/>
    <numFmt numFmtId="185" formatCode="0.0%"/>
    <numFmt numFmtId="186" formatCode="0.00_ "/>
    <numFmt numFmtId="187" formatCode="#,##0.00_ "/>
    <numFmt numFmtId="188" formatCode="#,##0.00000000000_ "/>
    <numFmt numFmtId="189" formatCode="#,##0.00000_ "/>
    <numFmt numFmtId="190" formatCode="yyyy&quot;年&quot;m&quot;月&quot;;@"/>
    <numFmt numFmtId="191" formatCode="#,##0.00_);[Red]\(#,##0.00\)"/>
    <numFmt numFmtId="192" formatCode="yyyy/m/d;@"/>
    <numFmt numFmtId="193" formatCode="0_);[Red]\(0\)"/>
    <numFmt numFmtId="194" formatCode="_-* #,##0.00_-;\-* #,##0.00_-;_-* &quot;-&quot;??_-;_-@_-"/>
    <numFmt numFmtId="195" formatCode="#,##0_ "/>
    <numFmt numFmtId="196" formatCode="0_ "/>
  </numFmts>
  <fonts count="93">
    <font>
      <sz val="10"/>
      <name val="Arial"/>
      <family val="2"/>
    </font>
    <font>
      <sz val="11"/>
      <name val="宋体"/>
      <family val="0"/>
    </font>
    <font>
      <sz val="12.65"/>
      <name val="宋体"/>
      <family val="0"/>
    </font>
    <font>
      <sz val="8.85"/>
      <name val="宋体"/>
      <family val="0"/>
    </font>
    <font>
      <sz val="9"/>
      <name val="宋体"/>
      <family val="0"/>
    </font>
    <font>
      <sz val="11.35"/>
      <name val="宋体"/>
      <family val="0"/>
    </font>
    <font>
      <sz val="10"/>
      <color indexed="10"/>
      <name val="Arial"/>
      <family val="2"/>
    </font>
    <font>
      <u val="single"/>
      <sz val="12.5"/>
      <name val="宋体"/>
      <family val="0"/>
    </font>
    <font>
      <b/>
      <sz val="8.85"/>
      <name val="宋体"/>
      <family val="0"/>
    </font>
    <font>
      <sz val="10"/>
      <name val="宋体"/>
      <family val="0"/>
    </font>
    <font>
      <sz val="8.85"/>
      <color indexed="10"/>
      <name val="宋体"/>
      <family val="0"/>
    </font>
    <font>
      <sz val="6"/>
      <name val="宋体"/>
      <family val="0"/>
    </font>
    <font>
      <sz val="10"/>
      <color indexed="10"/>
      <name val="宋体"/>
      <family val="0"/>
    </font>
    <font>
      <sz val="11"/>
      <color indexed="8"/>
      <name val="宋体"/>
      <family val="0"/>
    </font>
    <font>
      <sz val="10"/>
      <color indexed="8"/>
      <name val="宋体"/>
      <family val="0"/>
    </font>
    <font>
      <b/>
      <sz val="12"/>
      <name val="宋体"/>
      <family val="0"/>
    </font>
    <font>
      <sz val="8"/>
      <name val="宋体"/>
      <family val="0"/>
    </font>
    <font>
      <b/>
      <sz val="8"/>
      <name val="宋体"/>
      <family val="0"/>
    </font>
    <font>
      <b/>
      <sz val="10"/>
      <name val="宋体"/>
      <family val="0"/>
    </font>
    <font>
      <b/>
      <sz val="10"/>
      <color indexed="8"/>
      <name val="宋体"/>
      <family val="0"/>
    </font>
    <font>
      <sz val="12"/>
      <name val="宋体"/>
      <family val="0"/>
    </font>
    <font>
      <sz val="8"/>
      <color indexed="10"/>
      <name val="宋体"/>
      <family val="0"/>
    </font>
    <font>
      <b/>
      <sz val="9"/>
      <name val="宋体"/>
      <family val="0"/>
    </font>
    <font>
      <b/>
      <sz val="12"/>
      <color indexed="8"/>
      <name val="宋体"/>
      <family val="0"/>
    </font>
    <font>
      <sz val="12"/>
      <color indexed="8"/>
      <name val="宋体"/>
      <family val="0"/>
    </font>
    <font>
      <sz val="9"/>
      <color indexed="8"/>
      <name val="宋体"/>
      <family val="0"/>
    </font>
    <font>
      <sz val="11"/>
      <color indexed="62"/>
      <name val="宋体"/>
      <family val="0"/>
    </font>
    <font>
      <sz val="11"/>
      <color indexed="17"/>
      <name val="宋体"/>
      <family val="0"/>
    </font>
    <font>
      <sz val="11"/>
      <color indexed="16"/>
      <name val="宋体"/>
      <family val="0"/>
    </font>
    <font>
      <sz val="11"/>
      <color indexed="9"/>
      <name val="宋体"/>
      <family val="0"/>
    </font>
    <font>
      <u val="single"/>
      <sz val="10"/>
      <color indexed="12"/>
      <name val="Arial"/>
      <family val="2"/>
    </font>
    <font>
      <sz val="8"/>
      <name val="Arial"/>
      <family val="2"/>
    </font>
    <font>
      <sz val="11"/>
      <color indexed="20"/>
      <name val="宋体"/>
      <family val="0"/>
    </font>
    <font>
      <u val="single"/>
      <sz val="10"/>
      <color indexed="20"/>
      <name val="Arial"/>
      <family val="2"/>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2"/>
      <name val="Times New Roman"/>
      <family val="1"/>
    </font>
    <font>
      <sz val="10"/>
      <name val="MS Sans Serif"/>
      <family val="2"/>
    </font>
    <font>
      <b/>
      <sz val="10"/>
      <name val="MS Sans Serif"/>
      <family val="2"/>
    </font>
    <font>
      <sz val="20"/>
      <name val="Letter Gothic (W1)"/>
      <family val="2"/>
    </font>
    <font>
      <sz val="11"/>
      <color indexed="14"/>
      <name val="宋体"/>
      <family val="0"/>
    </font>
    <font>
      <b/>
      <i/>
      <sz val="16"/>
      <name val="Helv"/>
      <family val="2"/>
    </font>
    <font>
      <sz val="10"/>
      <name val="Times New Roman"/>
      <family val="1"/>
    </font>
    <font>
      <sz val="12"/>
      <name val="바탕체"/>
      <family val="0"/>
    </font>
    <font>
      <sz val="10"/>
      <color indexed="8"/>
      <name val="Arial"/>
      <family val="2"/>
    </font>
    <font>
      <sz val="11"/>
      <name val="蹈框"/>
      <family val="0"/>
    </font>
    <font>
      <sz val="11"/>
      <name val="ＭＳ Ｐゴシック"/>
      <family val="2"/>
    </font>
    <font>
      <u val="single"/>
      <sz val="12"/>
      <color indexed="12"/>
      <name val="宋体"/>
      <family val="0"/>
    </font>
    <font>
      <sz val="12.5"/>
      <name val="宋体"/>
      <family val="0"/>
    </font>
    <font>
      <sz val="11"/>
      <color rgb="FF3F3F76"/>
      <name val="Calibri"/>
      <family val="0"/>
    </font>
    <font>
      <sz val="11"/>
      <color theme="1"/>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b/>
      <sz val="18"/>
      <color theme="3"/>
      <name val="Cambria"/>
      <family val="0"/>
    </font>
    <font>
      <i/>
      <sz val="11"/>
      <color rgb="FF7F7F7F"/>
      <name val="Calibri"/>
      <family val="0"/>
    </font>
    <font>
      <sz val="11"/>
      <color indexed="8"/>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mbria"/>
      <family val="0"/>
    </font>
    <font>
      <sz val="10"/>
      <color rgb="FFFF0000"/>
      <name val="Arial"/>
      <family val="2"/>
    </font>
    <font>
      <sz val="8.85"/>
      <color rgb="FFFF0000"/>
      <name val="宋体"/>
      <family val="0"/>
    </font>
    <font>
      <sz val="10"/>
      <color rgb="FFFF0000"/>
      <name val="宋体"/>
      <family val="0"/>
    </font>
    <font>
      <sz val="10"/>
      <color theme="1"/>
      <name val="Calibri"/>
      <family val="0"/>
    </font>
    <font>
      <sz val="8"/>
      <name val="Calibri"/>
      <family val="0"/>
    </font>
    <font>
      <b/>
      <sz val="8"/>
      <name val="Calibri"/>
      <family val="0"/>
    </font>
    <font>
      <sz val="10"/>
      <name val="Calibri"/>
      <family val="0"/>
    </font>
    <font>
      <b/>
      <sz val="10"/>
      <name val="Calibri"/>
      <family val="0"/>
    </font>
    <font>
      <sz val="8"/>
      <color rgb="FFFF0000"/>
      <name val="Calibri"/>
      <family val="0"/>
    </font>
    <font>
      <b/>
      <sz val="12"/>
      <color rgb="FF000000"/>
      <name val="Calibri"/>
      <family val="0"/>
    </font>
    <font>
      <sz val="12"/>
      <color rgb="FF000000"/>
      <name val="Calibri"/>
      <family val="0"/>
    </font>
    <font>
      <sz val="9"/>
      <color theme="1"/>
      <name val="Calibri"/>
      <family val="0"/>
    </font>
    <font>
      <b/>
      <sz val="8"/>
      <name val="Arial"/>
      <family val="2"/>
    </font>
  </fonts>
  <fills count="46">
    <fill>
      <patternFill/>
    </fill>
    <fill>
      <patternFill patternType="gray125"/>
    </fill>
    <fill>
      <patternFill patternType="solid">
        <fgColor rgb="FFFFCC99"/>
        <bgColor indexed="64"/>
      </patternFill>
    </fill>
    <fill>
      <patternFill patternType="solid">
        <fgColor indexed="42"/>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9"/>
        <bgColor indexed="64"/>
      </patternFill>
    </fill>
    <fill>
      <patternFill patternType="solid">
        <fgColor indexed="45"/>
        <bgColor indexed="64"/>
      </patternFill>
    </fill>
    <fill>
      <patternFill patternType="solid">
        <fgColor indexed="46"/>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rgb="FFCCFFCC"/>
        <bgColor indexed="64"/>
      </patternFill>
    </fill>
    <fill>
      <patternFill patternType="solid">
        <fgColor rgb="FF99CCFF"/>
        <bgColor indexed="64"/>
      </patternFill>
    </fill>
    <fill>
      <patternFill patternType="solid">
        <fgColor indexed="44"/>
        <bgColor indexed="64"/>
      </patternFill>
    </fill>
    <fill>
      <patternFill patternType="solid">
        <fgColor indexed="26"/>
        <bgColor indexed="64"/>
      </patternFill>
    </fill>
    <fill>
      <patternFill patternType="solid">
        <fgColor rgb="FFDAEEF3"/>
        <bgColor indexed="64"/>
      </patternFill>
    </fill>
    <fill>
      <patternFill patternType="solid">
        <fgColor theme="0"/>
        <bgColor indexed="64"/>
      </patternFill>
    </fill>
    <fill>
      <patternFill patternType="solid">
        <fgColor rgb="FF00B0F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hair"/>
      <right style="hair"/>
      <top style="hair"/>
      <bottom style="hair"/>
    </border>
    <border>
      <left style="thin"/>
      <right style="thin"/>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color indexed="63"/>
      </right>
      <top style="thin">
        <color indexed="8"/>
      </top>
      <bottom style="thin">
        <color indexed="8"/>
      </bottom>
    </border>
    <border>
      <left style="thin"/>
      <right>
        <color indexed="63"/>
      </right>
      <top style="thin"/>
      <bottom style="thin"/>
    </border>
    <border>
      <left style="thin"/>
      <right/>
      <top style="thin"/>
      <bottom style="thin"/>
    </border>
    <border>
      <left/>
      <right/>
      <top style="thin"/>
      <bottom style="thin"/>
    </border>
    <border>
      <left/>
      <right style="thin"/>
      <top style="thin"/>
      <bottom style="thin"/>
    </border>
    <border>
      <left>
        <color indexed="63"/>
      </left>
      <right style="thin"/>
      <top style="thin"/>
      <bottom style="thin"/>
    </border>
    <border>
      <left>
        <color indexed="63"/>
      </left>
      <right>
        <color indexed="63"/>
      </right>
      <top style="thin"/>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right>
        <color indexed="63"/>
      </right>
      <top style="thin"/>
      <bottom style="thin"/>
    </border>
    <border>
      <left style="thin">
        <color indexed="8"/>
      </left>
      <right style="thin">
        <color indexed="8"/>
      </right>
      <top style="thin">
        <color indexed="8"/>
      </top>
      <bottom>
        <color indexed="63"/>
      </bottom>
    </border>
    <border>
      <left style="thin">
        <color indexed="8"/>
      </left>
      <right style="thin">
        <color indexed="8"/>
      </right>
      <top/>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style="thin"/>
      <bottom/>
    </border>
    <border>
      <left style="thin"/>
      <right style="thin"/>
      <top/>
      <bottom style="thin"/>
    </border>
  </borders>
  <cellStyleXfs count="5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59" fillId="2" borderId="1" applyNumberFormat="0" applyAlignment="0" applyProtection="0"/>
    <xf numFmtId="0" fontId="27" fillId="3" borderId="0" applyNumberFormat="0" applyBorder="0" applyAlignment="0" applyProtection="0"/>
    <xf numFmtId="176" fontId="0" fillId="0" borderId="0" applyFont="0" applyFill="0" applyBorder="0" applyAlignment="0" applyProtection="0"/>
    <xf numFmtId="0" fontId="20" fillId="0" borderId="0">
      <alignment vertical="center"/>
      <protection/>
    </xf>
    <xf numFmtId="0" fontId="60" fillId="4" borderId="0" applyNumberFormat="0" applyBorder="0" applyAlignment="0" applyProtection="0"/>
    <xf numFmtId="179" fontId="4" fillId="0" borderId="2">
      <alignment vertical="center"/>
      <protection/>
    </xf>
    <xf numFmtId="180" fontId="0" fillId="0" borderId="0" applyFont="0" applyFill="0" applyBorder="0" applyAlignment="0" applyProtection="0"/>
    <xf numFmtId="0" fontId="13" fillId="0" borderId="0">
      <alignment vertical="center"/>
      <protection/>
    </xf>
    <xf numFmtId="178" fontId="0" fillId="0" borderId="0" applyFont="0" applyFill="0" applyBorder="0" applyAlignment="0" applyProtection="0"/>
    <xf numFmtId="0" fontId="20" fillId="0" borderId="0">
      <alignment/>
      <protection/>
    </xf>
    <xf numFmtId="0" fontId="60" fillId="5" borderId="0" applyNumberFormat="0" applyBorder="0" applyAlignment="0" applyProtection="0"/>
    <xf numFmtId="0" fontId="61" fillId="6" borderId="0" applyNumberFormat="0" applyBorder="0" applyAlignment="0" applyProtection="0"/>
    <xf numFmtId="0" fontId="62" fillId="7" borderId="0" applyNumberFormat="0" applyBorder="0" applyAlignment="0" applyProtection="0"/>
    <xf numFmtId="0" fontId="27" fillId="3" borderId="0" applyNumberFormat="0" applyBorder="0" applyAlignment="0" applyProtection="0"/>
    <xf numFmtId="0" fontId="63" fillId="0" borderId="0" applyNumberFormat="0" applyFill="0" applyBorder="0" applyAlignment="0" applyProtection="0"/>
    <xf numFmtId="0" fontId="27" fillId="3" borderId="0" applyNumberFormat="0" applyBorder="0" applyAlignment="0" applyProtection="0"/>
    <xf numFmtId="0" fontId="27" fillId="3" borderId="0" applyNumberFormat="0" applyBorder="0" applyAlignment="0" applyProtection="0"/>
    <xf numFmtId="10" fontId="31" fillId="8" borderId="3" applyBorder="0" applyAlignment="0" applyProtection="0"/>
    <xf numFmtId="9" fontId="0" fillId="0" borderId="0" applyFont="0" applyFill="0" applyBorder="0" applyAlignment="0" applyProtection="0"/>
    <xf numFmtId="0" fontId="32" fillId="9" borderId="0" applyNumberFormat="0" applyBorder="0" applyAlignment="0" applyProtection="0"/>
    <xf numFmtId="0" fontId="32" fillId="9" borderId="0" applyNumberFormat="0" applyBorder="0" applyAlignment="0" applyProtection="0"/>
    <xf numFmtId="0" fontId="64" fillId="0" borderId="0" applyNumberFormat="0" applyFill="0" applyBorder="0" applyAlignment="0" applyProtection="0"/>
    <xf numFmtId="0" fontId="32" fillId="10" borderId="0" applyNumberFormat="0" applyBorder="0" applyAlignment="0" applyProtection="0"/>
    <xf numFmtId="0" fontId="20" fillId="0" borderId="0">
      <alignment/>
      <protection/>
    </xf>
    <xf numFmtId="9" fontId="20" fillId="0" borderId="0" applyFont="0" applyFill="0" applyBorder="0" applyAlignment="0" applyProtection="0"/>
    <xf numFmtId="0" fontId="0" fillId="11" borderId="4" applyNumberFormat="0" applyFont="0" applyAlignment="0" applyProtection="0"/>
    <xf numFmtId="0" fontId="20" fillId="0" borderId="0">
      <alignment vertical="center"/>
      <protection/>
    </xf>
    <xf numFmtId="0" fontId="27" fillId="3" borderId="0" applyNumberFormat="0" applyBorder="0" applyAlignment="0" applyProtection="0"/>
    <xf numFmtId="0" fontId="27" fillId="3" borderId="0" applyNumberFormat="0" applyBorder="0" applyAlignment="0" applyProtection="0"/>
    <xf numFmtId="0" fontId="60" fillId="0" borderId="0">
      <alignment vertical="center"/>
      <protection/>
    </xf>
    <xf numFmtId="0" fontId="62" fillId="12" borderId="0" applyNumberFormat="0" applyBorder="0" applyAlignment="0" applyProtection="0"/>
    <xf numFmtId="0" fontId="65" fillId="0" borderId="0" applyNumberFormat="0" applyFill="0" applyBorder="0" applyAlignment="0" applyProtection="0"/>
    <xf numFmtId="0" fontId="27" fillId="13" borderId="0" applyNumberFormat="0" applyBorder="0" applyAlignment="0" applyProtection="0"/>
    <xf numFmtId="0" fontId="20" fillId="0" borderId="0">
      <alignment vertical="center"/>
      <protection/>
    </xf>
    <xf numFmtId="0" fontId="20" fillId="0" borderId="0">
      <alignment/>
      <protection/>
    </xf>
    <xf numFmtId="0" fontId="66" fillId="0" borderId="0" applyNumberFormat="0" applyFill="0" applyBorder="0" applyAlignment="0" applyProtection="0"/>
    <xf numFmtId="0" fontId="20" fillId="0" borderId="0">
      <alignment/>
      <protection/>
    </xf>
    <xf numFmtId="0" fontId="67" fillId="0" borderId="0" applyNumberFormat="0" applyFill="0" applyBorder="0" applyAlignment="0" applyProtection="0"/>
    <xf numFmtId="0" fontId="68" fillId="0" borderId="0" applyNumberFormat="0" applyFill="0" applyBorder="0" applyAlignment="0" applyProtection="0"/>
    <xf numFmtId="9" fontId="69" fillId="0" borderId="0" applyFont="0" applyFill="0" applyBorder="0" applyAlignment="0" applyProtection="0"/>
    <xf numFmtId="0" fontId="70" fillId="0" borderId="5" applyNumberFormat="0" applyFill="0" applyAlignment="0" applyProtection="0"/>
    <xf numFmtId="0" fontId="20" fillId="0" borderId="0">
      <alignment/>
      <protection/>
    </xf>
    <xf numFmtId="9" fontId="69" fillId="0" borderId="0" applyFont="0" applyFill="0" applyBorder="0" applyAlignment="0" applyProtection="0"/>
    <xf numFmtId="0" fontId="71" fillId="0" borderId="6" applyNumberFormat="0" applyFill="0" applyAlignment="0" applyProtection="0"/>
    <xf numFmtId="0" fontId="27" fillId="3" borderId="0" applyNumberFormat="0" applyBorder="0" applyAlignment="0" applyProtection="0"/>
    <xf numFmtId="0" fontId="62" fillId="14" borderId="0" applyNumberFormat="0" applyBorder="0" applyAlignment="0" applyProtection="0"/>
    <xf numFmtId="0" fontId="65" fillId="0" borderId="7" applyNumberFormat="0" applyFill="0" applyAlignment="0" applyProtection="0"/>
    <xf numFmtId="0" fontId="27" fillId="3" borderId="0" applyNumberFormat="0" applyBorder="0" applyAlignment="0" applyProtection="0"/>
    <xf numFmtId="0" fontId="62" fillId="15" borderId="0" applyNumberFormat="0" applyBorder="0" applyAlignment="0" applyProtection="0"/>
    <xf numFmtId="0" fontId="72" fillId="16" borderId="8" applyNumberFormat="0" applyAlignment="0" applyProtection="0"/>
    <xf numFmtId="0" fontId="73" fillId="16" borderId="1" applyNumberFormat="0" applyAlignment="0" applyProtection="0"/>
    <xf numFmtId="0" fontId="74" fillId="17" borderId="9" applyNumberFormat="0" applyAlignment="0" applyProtection="0"/>
    <xf numFmtId="0" fontId="20" fillId="0" borderId="0">
      <alignment vertical="center"/>
      <protection/>
    </xf>
    <xf numFmtId="0" fontId="60" fillId="18" borderId="0" applyNumberFormat="0" applyBorder="0" applyAlignment="0" applyProtection="0"/>
    <xf numFmtId="43" fontId="20" fillId="0" borderId="0" applyFont="0" applyFill="0" applyBorder="0" applyAlignment="0" applyProtection="0"/>
    <xf numFmtId="0" fontId="20" fillId="0" borderId="0">
      <alignment vertical="center"/>
      <protection/>
    </xf>
    <xf numFmtId="0" fontId="32" fillId="9" borderId="0" applyNumberFormat="0" applyBorder="0" applyAlignment="0" applyProtection="0"/>
    <xf numFmtId="0" fontId="62" fillId="19" borderId="0" applyNumberFormat="0" applyBorder="0" applyAlignment="0" applyProtection="0"/>
    <xf numFmtId="0" fontId="75" fillId="0" borderId="10" applyNumberFormat="0" applyFill="0" applyAlignment="0" applyProtection="0"/>
    <xf numFmtId="0" fontId="27" fillId="3" borderId="0" applyNumberFormat="0" applyBorder="0" applyAlignment="0" applyProtection="0"/>
    <xf numFmtId="0" fontId="76" fillId="0" borderId="11" applyNumberFormat="0" applyFill="0" applyAlignment="0" applyProtection="0"/>
    <xf numFmtId="0" fontId="27" fillId="3" borderId="0" applyNumberFormat="0" applyBorder="0" applyAlignment="0" applyProtection="0"/>
    <xf numFmtId="0" fontId="77" fillId="20" borderId="0" applyNumberFormat="0" applyBorder="0" applyAlignment="0" applyProtection="0"/>
    <xf numFmtId="0" fontId="13" fillId="0" borderId="0">
      <alignment vertical="center"/>
      <protection/>
    </xf>
    <xf numFmtId="0" fontId="78" fillId="21" borderId="0" applyNumberFormat="0" applyBorder="0" applyAlignment="0" applyProtection="0"/>
    <xf numFmtId="0" fontId="20" fillId="0" borderId="0">
      <alignment vertical="center"/>
      <protection/>
    </xf>
    <xf numFmtId="0" fontId="60" fillId="22" borderId="0" applyNumberFormat="0" applyBorder="0" applyAlignment="0" applyProtection="0"/>
    <xf numFmtId="43" fontId="20" fillId="0" borderId="0" applyFont="0" applyFill="0" applyBorder="0" applyAlignment="0" applyProtection="0"/>
    <xf numFmtId="0" fontId="20" fillId="0" borderId="0">
      <alignment vertical="center"/>
      <protection/>
    </xf>
    <xf numFmtId="0" fontId="32" fillId="9" borderId="0" applyNumberFormat="0" applyBorder="0" applyAlignment="0" applyProtection="0"/>
    <xf numFmtId="0" fontId="62"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41" fontId="13" fillId="0" borderId="0" applyFont="0" applyFill="0" applyBorder="0" applyAlignment="0" applyProtection="0"/>
    <xf numFmtId="43" fontId="20" fillId="0" borderId="0" applyFont="0" applyFill="0" applyBorder="0" applyAlignment="0" applyProtection="0"/>
    <xf numFmtId="0" fontId="62" fillId="28" borderId="0" applyNumberFormat="0" applyBorder="0" applyAlignment="0" applyProtection="0"/>
    <xf numFmtId="41" fontId="13" fillId="0" borderId="0" applyFont="0" applyFill="0" applyBorder="0" applyAlignment="0" applyProtection="0"/>
    <xf numFmtId="43" fontId="20" fillId="0" borderId="0" applyFont="0" applyFill="0" applyBorder="0" applyAlignment="0" applyProtection="0"/>
    <xf numFmtId="0" fontId="62"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2" fillId="32" borderId="0" applyNumberFormat="0" applyBorder="0" applyAlignment="0" applyProtection="0"/>
    <xf numFmtId="0" fontId="60" fillId="33" borderId="0" applyNumberFormat="0" applyBorder="0" applyAlignment="0" applyProtection="0"/>
    <xf numFmtId="0" fontId="62" fillId="34" borderId="0" applyNumberFormat="0" applyBorder="0" applyAlignment="0" applyProtection="0"/>
    <xf numFmtId="0" fontId="27" fillId="3" borderId="0" applyNumberFormat="0" applyBorder="0" applyAlignment="0" applyProtection="0"/>
    <xf numFmtId="0" fontId="62" fillId="35" borderId="0" applyNumberFormat="0" applyBorder="0" applyAlignment="0" applyProtection="0"/>
    <xf numFmtId="0" fontId="60" fillId="36" borderId="0" applyNumberFormat="0" applyBorder="0" applyAlignment="0" applyProtection="0"/>
    <xf numFmtId="179" fontId="4" fillId="0" borderId="2">
      <alignment vertical="center"/>
      <protection/>
    </xf>
    <xf numFmtId="0" fontId="62" fillId="37" borderId="0" applyNumberFormat="0" applyBorder="0" applyAlignment="0" applyProtection="0"/>
    <xf numFmtId="43" fontId="20" fillId="0" borderId="0" applyFont="0" applyFill="0" applyBorder="0" applyAlignment="0" applyProtection="0"/>
    <xf numFmtId="0" fontId="46" fillId="0" borderId="0">
      <alignment/>
      <protection/>
    </xf>
    <xf numFmtId="0" fontId="32" fillId="9" borderId="0" applyNumberFormat="0" applyBorder="0" applyAlignment="0" applyProtection="0"/>
    <xf numFmtId="179" fontId="4" fillId="0" borderId="2">
      <alignment vertical="center"/>
      <protection/>
    </xf>
    <xf numFmtId="0" fontId="20" fillId="0" borderId="0">
      <alignment/>
      <protection/>
    </xf>
    <xf numFmtId="0" fontId="20" fillId="0" borderId="0">
      <alignment vertical="center"/>
      <protection/>
    </xf>
    <xf numFmtId="179" fontId="4" fillId="0" borderId="2">
      <alignment vertical="center"/>
      <protection/>
    </xf>
    <xf numFmtId="0" fontId="20" fillId="0" borderId="0">
      <alignment/>
      <protection/>
    </xf>
    <xf numFmtId="0" fontId="0" fillId="0" borderId="0">
      <alignment/>
      <protection/>
    </xf>
    <xf numFmtId="0" fontId="20" fillId="0" borderId="0">
      <alignment/>
      <protection/>
    </xf>
    <xf numFmtId="0" fontId="20" fillId="0" borderId="0">
      <alignment/>
      <protection/>
    </xf>
    <xf numFmtId="179" fontId="4" fillId="0" borderId="2">
      <alignment vertical="center"/>
      <protection/>
    </xf>
    <xf numFmtId="40" fontId="47" fillId="0" borderId="0" applyFont="0" applyFill="0" applyBorder="0" applyAlignment="0" applyProtection="0"/>
    <xf numFmtId="0" fontId="20" fillId="0" borderId="0">
      <alignment/>
      <protection/>
    </xf>
    <xf numFmtId="0" fontId="20" fillId="0" borderId="0">
      <alignment/>
      <protection/>
    </xf>
    <xf numFmtId="0" fontId="20" fillId="0" borderId="0">
      <alignment/>
      <protection/>
    </xf>
    <xf numFmtId="179" fontId="4" fillId="0" borderId="2">
      <alignment vertical="center"/>
      <protection/>
    </xf>
    <xf numFmtId="41" fontId="20" fillId="0" borderId="0" applyFont="0" applyFill="0" applyBorder="0" applyAlignment="0" applyProtection="0"/>
    <xf numFmtId="0" fontId="32" fillId="9" borderId="0" applyNumberFormat="0" applyBorder="0" applyAlignment="0" applyProtection="0"/>
    <xf numFmtId="179" fontId="4" fillId="0" borderId="2">
      <alignment vertical="center"/>
      <protection/>
    </xf>
    <xf numFmtId="0" fontId="20" fillId="0" borderId="0">
      <alignment vertical="center"/>
      <protection/>
    </xf>
    <xf numFmtId="0" fontId="32" fillId="9" borderId="0" applyNumberFormat="0" applyBorder="0" applyAlignment="0" applyProtection="0"/>
    <xf numFmtId="179" fontId="4" fillId="0" borderId="2">
      <alignment vertical="center"/>
      <protection/>
    </xf>
    <xf numFmtId="0" fontId="32" fillId="9" borderId="0" applyNumberFormat="0" applyBorder="0" applyAlignment="0" applyProtection="0"/>
    <xf numFmtId="179" fontId="4" fillId="0" borderId="2">
      <alignment vertical="center"/>
      <protection/>
    </xf>
    <xf numFmtId="0" fontId="20" fillId="0" borderId="0">
      <alignment vertical="center"/>
      <protection/>
    </xf>
    <xf numFmtId="179" fontId="4" fillId="0" borderId="2">
      <alignment vertical="center"/>
      <protection/>
    </xf>
    <xf numFmtId="182" fontId="46" fillId="0" borderId="0" applyFont="0" applyFill="0" applyBorder="0" applyAlignment="0" applyProtection="0"/>
    <xf numFmtId="0" fontId="20" fillId="0" borderId="0">
      <alignment vertical="center"/>
      <protection/>
    </xf>
    <xf numFmtId="0" fontId="48" fillId="0" borderId="0" applyNumberFormat="0" applyFill="0" applyBorder="0" applyAlignment="0" applyProtection="0"/>
    <xf numFmtId="0" fontId="13" fillId="0" borderId="0">
      <alignment vertical="center"/>
      <protection/>
    </xf>
    <xf numFmtId="38" fontId="47" fillId="0" borderId="0" applyFont="0" applyFill="0" applyBorder="0" applyAlignment="0" applyProtection="0"/>
    <xf numFmtId="0" fontId="32" fillId="10" borderId="0" applyNumberFormat="0" applyBorder="0" applyAlignment="0" applyProtection="0"/>
    <xf numFmtId="177" fontId="49" fillId="0" borderId="0" applyFont="0" applyFill="0" applyBorder="0" applyAlignment="0" applyProtection="0"/>
    <xf numFmtId="0" fontId="32" fillId="10" borderId="0" applyNumberFormat="0" applyBorder="0" applyAlignment="0" applyProtection="0"/>
    <xf numFmtId="0" fontId="32" fillId="9" borderId="0" applyNumberFormat="0" applyBorder="0" applyAlignment="0" applyProtection="0"/>
    <xf numFmtId="176" fontId="49" fillId="0" borderId="0" applyFont="0" applyFill="0" applyBorder="0" applyAlignment="0" applyProtection="0"/>
    <xf numFmtId="38" fontId="31" fillId="38" borderId="0" applyBorder="0" applyAlignment="0" applyProtection="0"/>
    <xf numFmtId="43" fontId="20" fillId="0" borderId="0" applyFont="0" applyFill="0" applyBorder="0" applyAlignment="0" applyProtection="0"/>
    <xf numFmtId="43" fontId="20" fillId="0" borderId="0" applyFont="0" applyFill="0" applyBorder="0" applyAlignment="0" applyProtection="0"/>
    <xf numFmtId="10" fontId="31" fillId="8" borderId="3" applyBorder="0" applyAlignment="0" applyProtection="0"/>
    <xf numFmtId="43" fontId="20" fillId="0" borderId="0" applyFont="0" applyFill="0" applyBorder="0" applyAlignment="0" applyProtection="0"/>
    <xf numFmtId="0" fontId="27" fillId="3" borderId="0" applyNumberFormat="0" applyBorder="0" applyAlignment="0" applyProtection="0"/>
    <xf numFmtId="10" fontId="31" fillId="8" borderId="3" applyBorder="0" applyAlignment="0" applyProtection="0"/>
    <xf numFmtId="10" fontId="31" fillId="8" borderId="3" applyBorder="0" applyAlignment="0" applyProtection="0"/>
    <xf numFmtId="10" fontId="31" fillId="8" borderId="3" applyBorder="0" applyAlignment="0" applyProtection="0"/>
    <xf numFmtId="10" fontId="31" fillId="8" borderId="3" applyBorder="0" applyAlignment="0" applyProtection="0"/>
    <xf numFmtId="43" fontId="20" fillId="0" borderId="0" applyFont="0" applyFill="0" applyBorder="0" applyAlignment="0" applyProtection="0"/>
    <xf numFmtId="0" fontId="27" fillId="3" borderId="0" applyNumberFormat="0" applyBorder="0" applyAlignment="0" applyProtection="0"/>
    <xf numFmtId="10" fontId="31" fillId="8" borderId="3" applyBorder="0" applyAlignment="0" applyProtection="0"/>
    <xf numFmtId="0" fontId="27" fillId="3" borderId="0" applyNumberFormat="0" applyBorder="0" applyAlignment="0" applyProtection="0"/>
    <xf numFmtId="10" fontId="31" fillId="8" borderId="3" applyBorder="0" applyAlignment="0" applyProtection="0"/>
    <xf numFmtId="0" fontId="27" fillId="3" borderId="0" applyNumberFormat="0" applyBorder="0" applyAlignment="0" applyProtection="0"/>
    <xf numFmtId="0" fontId="50" fillId="9" borderId="0" applyNumberFormat="0" applyBorder="0" applyAlignment="0" applyProtection="0"/>
    <xf numFmtId="10" fontId="31" fillId="8" borderId="3" applyBorder="0" applyAlignment="0" applyProtection="0"/>
    <xf numFmtId="0" fontId="20" fillId="0" borderId="0">
      <alignment vertical="center"/>
      <protection/>
    </xf>
    <xf numFmtId="0" fontId="32" fillId="9" borderId="0" applyNumberFormat="0" applyBorder="0" applyAlignment="0" applyProtection="0"/>
    <xf numFmtId="0" fontId="51" fillId="0" borderId="0">
      <alignment/>
      <protection/>
    </xf>
    <xf numFmtId="0" fontId="52" fillId="0" borderId="0">
      <alignment/>
      <protection/>
    </xf>
    <xf numFmtId="10" fontId="0" fillId="0" borderId="0" applyFont="0" applyFill="0" applyBorder="0" applyAlignment="0" applyProtection="0"/>
    <xf numFmtId="0" fontId="32" fillId="9" borderId="0" applyNumberFormat="0" applyBorder="0" applyAlignment="0" applyProtection="0"/>
    <xf numFmtId="0" fontId="48"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32" fillId="9" borderId="0" applyNumberFormat="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27" fillId="3" borderId="0" applyNumberFormat="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20" fillId="0" borderId="0">
      <alignment vertical="center"/>
      <protection/>
    </xf>
    <xf numFmtId="9" fontId="69" fillId="0" borderId="0" applyFont="0" applyFill="0" applyBorder="0" applyAlignment="0" applyProtection="0"/>
    <xf numFmtId="0" fontId="32" fillId="10" borderId="0" applyNumberFormat="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9" fillId="0" borderId="0">
      <alignment/>
      <protection/>
    </xf>
    <xf numFmtId="0" fontId="20" fillId="0" borderId="0">
      <alignment/>
      <protection/>
    </xf>
    <xf numFmtId="0" fontId="50" fillId="9" borderId="0" applyNumberFormat="0" applyBorder="0" applyAlignment="0" applyProtection="0"/>
    <xf numFmtId="0" fontId="20" fillId="0" borderId="0">
      <alignment vertical="center"/>
      <protection/>
    </xf>
    <xf numFmtId="0" fontId="50" fillId="9" borderId="0" applyNumberFormat="0" applyBorder="0" applyAlignment="0" applyProtection="0"/>
    <xf numFmtId="0" fontId="46" fillId="0" borderId="0">
      <alignment/>
      <protection/>
    </xf>
    <xf numFmtId="0" fontId="50" fillId="9" borderId="0" applyNumberFormat="0" applyBorder="0" applyAlignment="0" applyProtection="0"/>
    <xf numFmtId="0" fontId="27" fillId="3" borderId="0" applyNumberFormat="0" applyBorder="0" applyAlignment="0" applyProtection="0"/>
    <xf numFmtId="0" fontId="32" fillId="9" borderId="0" applyNumberFormat="0" applyBorder="0" applyAlignment="0" applyProtection="0"/>
    <xf numFmtId="0" fontId="50" fillId="9" borderId="0" applyNumberFormat="0" applyBorder="0" applyAlignment="0" applyProtection="0"/>
    <xf numFmtId="0" fontId="32" fillId="9" borderId="0" applyNumberFormat="0" applyBorder="0" applyAlignment="0" applyProtection="0"/>
    <xf numFmtId="0" fontId="50" fillId="9" borderId="0" applyNumberFormat="0" applyBorder="0" applyAlignment="0" applyProtection="0"/>
    <xf numFmtId="0" fontId="20" fillId="0" borderId="0">
      <alignment vertical="center"/>
      <protection/>
    </xf>
    <xf numFmtId="0" fontId="50" fillId="9" borderId="0" applyNumberFormat="0" applyBorder="0" applyAlignment="0" applyProtection="0"/>
    <xf numFmtId="0" fontId="27" fillId="3" borderId="0" applyNumberFormat="0" applyBorder="0" applyAlignment="0" applyProtection="0"/>
    <xf numFmtId="0" fontId="50" fillId="9" borderId="0" applyNumberFormat="0" applyBorder="0" applyAlignment="0" applyProtection="0"/>
    <xf numFmtId="0" fontId="32"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27" fillId="3" borderId="0" applyNumberFormat="0" applyBorder="0" applyAlignment="0" applyProtection="0"/>
    <xf numFmtId="0" fontId="50" fillId="9" borderId="0" applyNumberFormat="0" applyBorder="0" applyAlignment="0" applyProtection="0"/>
    <xf numFmtId="0" fontId="0" fillId="0" borderId="0">
      <alignment/>
      <protection/>
    </xf>
    <xf numFmtId="0" fontId="50" fillId="9" borderId="0" applyNumberFormat="0" applyBorder="0" applyAlignment="0" applyProtection="0"/>
    <xf numFmtId="0" fontId="27" fillId="3" borderId="0" applyNumberFormat="0" applyBorder="0" applyAlignment="0" applyProtection="0"/>
    <xf numFmtId="0" fontId="50" fillId="9" borderId="0" applyNumberFormat="0" applyBorder="0" applyAlignment="0" applyProtection="0"/>
    <xf numFmtId="0" fontId="27" fillId="3"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46" fillId="0" borderId="0">
      <alignment/>
      <protection/>
    </xf>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20" fillId="0" borderId="0">
      <alignment vertical="center"/>
      <protection/>
    </xf>
    <xf numFmtId="0" fontId="32" fillId="9" borderId="0" applyNumberFormat="0" applyBorder="0" applyAlignment="0" applyProtection="0"/>
    <xf numFmtId="0" fontId="32" fillId="9" borderId="0" applyNumberFormat="0" applyBorder="0" applyAlignment="0" applyProtection="0"/>
    <xf numFmtId="0" fontId="27" fillId="13" borderId="0" applyNumberFormat="0" applyBorder="0" applyAlignment="0" applyProtection="0"/>
    <xf numFmtId="0" fontId="32" fillId="9" borderId="0" applyNumberFormat="0" applyBorder="0" applyAlignment="0" applyProtection="0"/>
    <xf numFmtId="0" fontId="27" fillId="13" borderId="0" applyNumberFormat="0" applyBorder="0" applyAlignment="0" applyProtection="0"/>
    <xf numFmtId="0" fontId="32" fillId="9" borderId="0" applyNumberFormat="0" applyBorder="0" applyAlignment="0" applyProtection="0"/>
    <xf numFmtId="0" fontId="27" fillId="3"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27" fillId="3" borderId="0" applyNumberFormat="0" applyBorder="0" applyAlignment="0" applyProtection="0"/>
    <xf numFmtId="0" fontId="32" fillId="9" borderId="0" applyNumberFormat="0" applyBorder="0" applyAlignment="0" applyProtection="0"/>
    <xf numFmtId="43" fontId="20" fillId="0" borderId="0" applyFont="0" applyFill="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32" fillId="9" borderId="0" applyNumberFormat="0" applyBorder="0" applyAlignment="0" applyProtection="0"/>
    <xf numFmtId="0" fontId="27" fillId="3" borderId="0" applyNumberFormat="0" applyBorder="0" applyAlignment="0" applyProtection="0"/>
    <xf numFmtId="0" fontId="32" fillId="9"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32" fillId="9" borderId="0" applyNumberFormat="0" applyBorder="0" applyAlignment="0" applyProtection="0"/>
    <xf numFmtId="0" fontId="20" fillId="0" borderId="0">
      <alignment vertical="center"/>
      <protection/>
    </xf>
    <xf numFmtId="0" fontId="32" fillId="9" borderId="0" applyNumberFormat="0" applyBorder="0" applyAlignment="0" applyProtection="0"/>
    <xf numFmtId="0" fontId="20" fillId="0" borderId="0">
      <alignment vertical="center"/>
      <protection/>
    </xf>
    <xf numFmtId="0" fontId="32" fillId="9" borderId="0" applyNumberFormat="0" applyBorder="0" applyAlignment="0" applyProtection="0"/>
    <xf numFmtId="0" fontId="20" fillId="0" borderId="0">
      <alignment vertical="center"/>
      <protection/>
    </xf>
    <xf numFmtId="0" fontId="20" fillId="0" borderId="0">
      <alignment vertical="center"/>
      <protection/>
    </xf>
    <xf numFmtId="0" fontId="32" fillId="9" borderId="0" applyNumberFormat="0" applyBorder="0" applyAlignment="0" applyProtection="0"/>
    <xf numFmtId="0" fontId="20" fillId="0" borderId="0">
      <alignment vertical="center"/>
      <protection/>
    </xf>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27" fillId="3"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43" fontId="20" fillId="0" borderId="0" applyFont="0" applyFill="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43" fontId="20" fillId="0" borderId="0" applyFont="0" applyFill="0" applyBorder="0" applyAlignment="0" applyProtection="0"/>
    <xf numFmtId="0" fontId="32" fillId="9" borderId="0" applyNumberFormat="0" applyBorder="0" applyAlignment="0" applyProtection="0"/>
    <xf numFmtId="0" fontId="32" fillId="10" borderId="0" applyNumberFormat="0" applyBorder="0" applyAlignment="0" applyProtection="0"/>
    <xf numFmtId="0" fontId="27"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27" fillId="13" borderId="0" applyNumberFormat="0" applyBorder="0" applyAlignment="0" applyProtection="0"/>
    <xf numFmtId="0" fontId="32" fillId="10" borderId="0" applyNumberFormat="0" applyBorder="0" applyAlignment="0" applyProtection="0"/>
    <xf numFmtId="0" fontId="27" fillId="1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3" fillId="0" borderId="0">
      <alignment/>
      <protection/>
    </xf>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27" fillId="3" borderId="0" applyNumberFormat="0" applyBorder="0" applyAlignment="0" applyProtection="0"/>
    <xf numFmtId="0" fontId="32" fillId="9" borderId="0" applyNumberFormat="0" applyBorder="0" applyAlignment="0" applyProtection="0"/>
    <xf numFmtId="0" fontId="27" fillId="3" borderId="0" applyNumberFormat="0" applyBorder="0" applyAlignment="0" applyProtection="0"/>
    <xf numFmtId="0" fontId="32" fillId="9" borderId="0" applyNumberFormat="0" applyBorder="0" applyAlignment="0" applyProtection="0"/>
    <xf numFmtId="43" fontId="52" fillId="0" borderId="0" applyFont="0" applyFill="0" applyBorder="0" applyAlignment="0" applyProtection="0"/>
    <xf numFmtId="0" fontId="32" fillId="9" borderId="0" applyNumberFormat="0" applyBorder="0" applyAlignment="0" applyProtection="0"/>
    <xf numFmtId="0" fontId="20" fillId="0" borderId="0">
      <alignment/>
      <protection/>
    </xf>
    <xf numFmtId="0" fontId="32" fillId="9" borderId="0" applyNumberFormat="0" applyBorder="0" applyAlignment="0" applyProtection="0"/>
    <xf numFmtId="0" fontId="32" fillId="9" borderId="0" applyNumberFormat="0" applyBorder="0" applyAlignment="0" applyProtection="0"/>
    <xf numFmtId="0" fontId="20" fillId="0" borderId="0">
      <alignment vertical="center"/>
      <protection/>
    </xf>
    <xf numFmtId="0" fontId="32" fillId="9" borderId="0" applyNumberFormat="0" applyBorder="0" applyAlignment="0" applyProtection="0"/>
    <xf numFmtId="0" fontId="20" fillId="0" borderId="0">
      <alignment vertical="center"/>
      <protection/>
    </xf>
    <xf numFmtId="0" fontId="32" fillId="9" borderId="0" applyNumberFormat="0" applyBorder="0" applyAlignment="0" applyProtection="0"/>
    <xf numFmtId="0" fontId="27" fillId="3"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20" fillId="0" borderId="0">
      <alignment/>
      <protection/>
    </xf>
    <xf numFmtId="0" fontId="32" fillId="9" borderId="0" applyNumberFormat="0" applyBorder="0" applyAlignment="0" applyProtection="0"/>
    <xf numFmtId="0" fontId="27" fillId="3"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54" fillId="0" borderId="0">
      <alignment/>
      <protection/>
    </xf>
    <xf numFmtId="0" fontId="54"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27" fillId="3" borderId="0" applyNumberFormat="0" applyBorder="0" applyAlignment="0" applyProtection="0"/>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43" fontId="20" fillId="0" borderId="0" applyFont="0" applyFill="0" applyBorder="0" applyAlignment="0" applyProtection="0"/>
    <xf numFmtId="0" fontId="6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7" fillId="3" borderId="0" applyNumberFormat="0" applyBorder="0" applyAlignment="0" applyProtection="0"/>
    <xf numFmtId="0" fontId="0" fillId="0" borderId="0">
      <alignment/>
      <protection/>
    </xf>
    <xf numFmtId="0" fontId="20" fillId="0" borderId="0">
      <alignment vertical="center"/>
      <protection/>
    </xf>
    <xf numFmtId="44" fontId="20" fillId="0" borderId="0" applyFont="0" applyFill="0" applyBorder="0" applyAlignment="0" applyProtection="0"/>
    <xf numFmtId="0" fontId="20" fillId="0" borderId="0">
      <alignment vertical="center"/>
      <protection/>
    </xf>
    <xf numFmtId="0" fontId="55" fillId="0" borderId="0">
      <alignment/>
      <protection/>
    </xf>
    <xf numFmtId="0" fontId="27" fillId="3" borderId="0" applyNumberFormat="0" applyBorder="0" applyAlignment="0" applyProtection="0"/>
    <xf numFmtId="0" fontId="20" fillId="0" borderId="0">
      <alignment vertical="center"/>
      <protection/>
    </xf>
    <xf numFmtId="0" fontId="20" fillId="0" borderId="0">
      <alignment vertical="center"/>
      <protection/>
    </xf>
    <xf numFmtId="41" fontId="13" fillId="0" borderId="0" applyFont="0" applyFill="0" applyBorder="0" applyAlignment="0" applyProtection="0"/>
    <xf numFmtId="0" fontId="27" fillId="3" borderId="0" applyNumberFormat="0" applyBorder="0" applyAlignment="0" applyProtection="0"/>
    <xf numFmtId="0" fontId="54" fillId="0" borderId="0">
      <alignment/>
      <protection/>
    </xf>
    <xf numFmtId="41" fontId="13" fillId="0" borderId="0" applyFont="0" applyFill="0" applyBorder="0" applyAlignment="0" applyProtection="0"/>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7" fillId="3" borderId="0" applyNumberFormat="0" applyBorder="0" applyAlignment="0" applyProtection="0"/>
    <xf numFmtId="0" fontId="20" fillId="0" borderId="0">
      <alignment vertical="center"/>
      <protection/>
    </xf>
    <xf numFmtId="0" fontId="2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27" fillId="3" borderId="0" applyNumberFormat="0" applyBorder="0" applyAlignment="0" applyProtection="0"/>
    <xf numFmtId="0" fontId="13" fillId="0" borderId="0">
      <alignment vertical="center"/>
      <protection/>
    </xf>
    <xf numFmtId="0" fontId="13" fillId="0" borderId="0">
      <alignment vertical="center"/>
      <protection/>
    </xf>
    <xf numFmtId="44" fontId="20" fillId="0" borderId="0" applyFont="0" applyFill="0" applyBorder="0" applyAlignment="0" applyProtection="0"/>
    <xf numFmtId="0" fontId="27" fillId="13" borderId="0" applyNumberFormat="0" applyBorder="0" applyAlignment="0" applyProtection="0"/>
    <xf numFmtId="0" fontId="13" fillId="0" borderId="0">
      <alignment vertical="center"/>
      <protection/>
    </xf>
    <xf numFmtId="0" fontId="20" fillId="0" borderId="0">
      <alignment vertical="center"/>
      <protection/>
    </xf>
    <xf numFmtId="0" fontId="13" fillId="0" borderId="0">
      <alignment vertical="center"/>
      <protection/>
    </xf>
    <xf numFmtId="0" fontId="13" fillId="0" borderId="0">
      <alignment vertical="center"/>
      <protection/>
    </xf>
    <xf numFmtId="38" fontId="56" fillId="0" borderId="0" applyFont="0" applyFill="0" applyBorder="0" applyAlignment="0" applyProtection="0"/>
    <xf numFmtId="0" fontId="27" fillId="3" borderId="0" applyNumberFormat="0" applyBorder="0" applyAlignment="0" applyProtection="0"/>
    <xf numFmtId="0" fontId="13" fillId="0" borderId="0">
      <alignment vertical="center"/>
      <protection/>
    </xf>
    <xf numFmtId="0" fontId="20" fillId="0" borderId="0">
      <alignment vertical="center"/>
      <protection/>
    </xf>
    <xf numFmtId="0" fontId="27" fillId="3" borderId="0" applyNumberFormat="0" applyBorder="0" applyAlignment="0" applyProtection="0"/>
    <xf numFmtId="0" fontId="60" fillId="0" borderId="0">
      <alignment vertical="center"/>
      <protection/>
    </xf>
    <xf numFmtId="43" fontId="20" fillId="0" borderId="0" applyFont="0" applyFill="0" applyBorder="0" applyAlignment="0" applyProtection="0"/>
    <xf numFmtId="0" fontId="60" fillId="0" borderId="0">
      <alignment vertical="center"/>
      <protection/>
    </xf>
    <xf numFmtId="0" fontId="20" fillId="0" borderId="0">
      <alignment vertical="center"/>
      <protection/>
    </xf>
    <xf numFmtId="43" fontId="20" fillId="0" borderId="0" applyFont="0" applyFill="0" applyBorder="0" applyAlignment="0" applyProtection="0"/>
    <xf numFmtId="0" fontId="13" fillId="0" borderId="0">
      <alignment vertical="center"/>
      <protection/>
    </xf>
    <xf numFmtId="0" fontId="60" fillId="0" borderId="0">
      <alignment vertical="center"/>
      <protection/>
    </xf>
    <xf numFmtId="0" fontId="54" fillId="0" borderId="0">
      <alignment/>
      <protection/>
    </xf>
    <xf numFmtId="0" fontId="27" fillId="3" borderId="0" applyNumberFormat="0" applyBorder="0" applyAlignment="0" applyProtection="0"/>
    <xf numFmtId="0" fontId="20" fillId="0" borderId="0">
      <alignment/>
      <protection/>
    </xf>
    <xf numFmtId="0" fontId="27" fillId="13" borderId="0" applyNumberFormat="0" applyBorder="0" applyAlignment="0" applyProtection="0"/>
    <xf numFmtId="0" fontId="9" fillId="0" borderId="0">
      <alignment/>
      <protection/>
    </xf>
    <xf numFmtId="0" fontId="20" fillId="0" borderId="0">
      <alignment/>
      <protection/>
    </xf>
    <xf numFmtId="0" fontId="27" fillId="13" borderId="0" applyNumberFormat="0" applyBorder="0" applyAlignment="0" applyProtection="0"/>
    <xf numFmtId="0" fontId="20" fillId="0" borderId="0">
      <alignment vertical="center"/>
      <protection/>
    </xf>
    <xf numFmtId="0" fontId="9"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54" fillId="0" borderId="0">
      <alignment/>
      <protection/>
    </xf>
    <xf numFmtId="0" fontId="27" fillId="3"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vertical="center"/>
      <protection/>
    </xf>
    <xf numFmtId="0" fontId="20" fillId="0" borderId="0">
      <alignment vertical="center"/>
      <protection/>
    </xf>
    <xf numFmtId="43" fontId="20" fillId="0" borderId="0" applyFont="0" applyFill="0" applyBorder="0" applyAlignment="0" applyProtection="0"/>
    <xf numFmtId="0" fontId="20" fillId="0" borderId="0">
      <alignment vertical="center"/>
      <protection/>
    </xf>
    <xf numFmtId="0" fontId="20" fillId="0" borderId="0">
      <alignment/>
      <protection/>
    </xf>
    <xf numFmtId="0" fontId="20" fillId="0" borderId="0">
      <alignment/>
      <protection/>
    </xf>
    <xf numFmtId="0" fontId="20" fillId="0" borderId="0">
      <alignment/>
      <protection/>
    </xf>
    <xf numFmtId="43" fontId="20" fillId="0" borderId="0" applyFont="0" applyFill="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vertical="center"/>
      <protection/>
    </xf>
    <xf numFmtId="40" fontId="56" fillId="0" borderId="0" applyFont="0" applyFill="0" applyBorder="0" applyAlignment="0" applyProtection="0"/>
    <xf numFmtId="0" fontId="20" fillId="0" borderId="0">
      <alignment vertical="center"/>
      <protection/>
    </xf>
    <xf numFmtId="0" fontId="20" fillId="0" borderId="0">
      <alignment vertical="center"/>
      <protection/>
    </xf>
    <xf numFmtId="0" fontId="20" fillId="0" borderId="0">
      <alignment vertical="center"/>
      <protection/>
    </xf>
    <xf numFmtId="44" fontId="20" fillId="0" borderId="0" applyFont="0" applyFill="0" applyBorder="0" applyAlignment="0" applyProtection="0"/>
    <xf numFmtId="0" fontId="27" fillId="13" borderId="0" applyNumberFormat="0" applyBorder="0" applyAlignment="0" applyProtection="0"/>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57" fillId="0" borderId="0" applyNumberFormat="0" applyFill="0" applyBorder="0" applyAlignment="0" applyProtection="0"/>
    <xf numFmtId="0" fontId="27" fillId="3" borderId="0" applyNumberFormat="0" applyBorder="0" applyAlignment="0" applyProtection="0"/>
    <xf numFmtId="0" fontId="27" fillId="3" borderId="0" applyNumberFormat="0" applyBorder="0" applyAlignment="0" applyProtection="0"/>
    <xf numFmtId="41" fontId="13" fillId="0" borderId="0" applyFont="0" applyFill="0" applyBorder="0" applyAlignment="0" applyProtection="0"/>
    <xf numFmtId="0" fontId="27" fillId="3" borderId="0" applyNumberFormat="0" applyBorder="0" applyAlignment="0" applyProtection="0"/>
    <xf numFmtId="41" fontId="13" fillId="0" borderId="0" applyFont="0" applyFill="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56" fillId="0" borderId="0" applyFont="0" applyFill="0" applyBorder="0" applyAlignment="0" applyProtection="0"/>
    <xf numFmtId="0" fontId="27" fillId="3" borderId="0" applyNumberFormat="0" applyBorder="0" applyAlignment="0" applyProtection="0"/>
    <xf numFmtId="0" fontId="27" fillId="13" borderId="0" applyNumberFormat="0" applyBorder="0" applyAlignment="0" applyProtection="0"/>
    <xf numFmtId="0" fontId="27" fillId="3" borderId="0" applyNumberFormat="0" applyBorder="0" applyAlignment="0" applyProtection="0"/>
    <xf numFmtId="0" fontId="27" fillId="1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44" fontId="20" fillId="0" borderId="0" applyFont="0" applyFill="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43" fontId="20" fillId="0" borderId="0" applyFont="0" applyFill="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183" fontId="46" fillId="0" borderId="0" applyFont="0" applyFill="0" applyBorder="0" applyAlignment="0" applyProtection="0"/>
    <xf numFmtId="41" fontId="13" fillId="0" borderId="0" applyFont="0" applyFill="0" applyBorder="0" applyAlignment="0" applyProtection="0"/>
    <xf numFmtId="8" fontId="20" fillId="0" borderId="0" applyFont="0" applyFill="0" applyBorder="0" applyAlignment="0" applyProtection="0"/>
    <xf numFmtId="181" fontId="46" fillId="0" borderId="0" applyFont="0" applyFill="0" applyBorder="0" applyAlignment="0" applyProtection="0"/>
    <xf numFmtId="0" fontId="52" fillId="0" borderId="0">
      <alignment/>
      <protection/>
    </xf>
    <xf numFmtId="41" fontId="5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56" fillId="0" borderId="0" applyFont="0" applyFill="0" applyBorder="0" applyAlignment="0" applyProtection="0"/>
    <xf numFmtId="0" fontId="20" fillId="0" borderId="0">
      <alignment vertical="center"/>
      <protection/>
    </xf>
  </cellStyleXfs>
  <cellXfs count="396">
    <xf numFmtId="0" fontId="0" fillId="0" borderId="0" xfId="0" applyAlignment="1">
      <alignment/>
    </xf>
    <xf numFmtId="2" fontId="2" fillId="8" borderId="12" xfId="0" applyNumberFormat="1" applyFont="1" applyFill="1" applyBorder="1" applyAlignment="1">
      <alignment horizontal="center" vertical="center" wrapText="1"/>
    </xf>
    <xf numFmtId="2" fontId="3" fillId="8" borderId="12" xfId="0" applyNumberFormat="1" applyFont="1" applyFill="1" applyBorder="1" applyAlignment="1">
      <alignment horizontal="left" vertical="center" wrapText="1"/>
    </xf>
    <xf numFmtId="2" fontId="3" fillId="0" borderId="12" xfId="0" applyNumberFormat="1" applyFont="1" applyFill="1" applyBorder="1" applyAlignment="1">
      <alignment horizontal="left" vertical="center"/>
    </xf>
    <xf numFmtId="2" fontId="3" fillId="39" borderId="12" xfId="0" applyNumberFormat="1" applyFont="1" applyFill="1" applyBorder="1" applyAlignment="1">
      <alignment horizontal="left" vertical="center"/>
    </xf>
    <xf numFmtId="2" fontId="3" fillId="8" borderId="12" xfId="0" applyNumberFormat="1" applyFont="1" applyFill="1" applyBorder="1" applyAlignment="1">
      <alignment horizontal="left" vertical="center"/>
    </xf>
    <xf numFmtId="2" fontId="3" fillId="8" borderId="12" xfId="0" applyNumberFormat="1" applyFont="1" applyFill="1" applyBorder="1" applyAlignment="1">
      <alignment horizontal="center" vertical="center" wrapText="1"/>
    </xf>
    <xf numFmtId="2" fontId="3" fillId="40" borderId="13" xfId="0" applyNumberFormat="1" applyFont="1" applyFill="1" applyBorder="1" applyAlignment="1">
      <alignment horizontal="center" vertical="center"/>
    </xf>
    <xf numFmtId="2" fontId="3" fillId="40" borderId="14" xfId="0" applyNumberFormat="1" applyFont="1" applyFill="1" applyBorder="1" applyAlignment="1">
      <alignment horizontal="center" vertical="center"/>
    </xf>
    <xf numFmtId="2" fontId="3" fillId="40" borderId="12" xfId="0" applyNumberFormat="1" applyFont="1" applyFill="1" applyBorder="1" applyAlignment="1">
      <alignment horizontal="center" vertical="center"/>
    </xf>
    <xf numFmtId="2" fontId="3" fillId="41" borderId="12" xfId="0" applyNumberFormat="1" applyFont="1" applyFill="1" applyBorder="1" applyAlignment="1">
      <alignment horizontal="left" vertical="center" wrapText="1"/>
    </xf>
    <xf numFmtId="4" fontId="3" fillId="42" borderId="12" xfId="0" applyNumberFormat="1" applyFont="1" applyFill="1" applyBorder="1" applyAlignment="1">
      <alignment horizontal="right" vertical="center"/>
    </xf>
    <xf numFmtId="4" fontId="3" fillId="8" borderId="12" xfId="0" applyNumberFormat="1" applyFont="1" applyFill="1" applyBorder="1" applyAlignment="1">
      <alignment horizontal="left" vertical="center"/>
    </xf>
    <xf numFmtId="4" fontId="3" fillId="43" borderId="12" xfId="0" applyNumberFormat="1" applyFont="1" applyFill="1" applyBorder="1" applyAlignment="1">
      <alignment horizontal="left" vertical="center"/>
    </xf>
    <xf numFmtId="4" fontId="3" fillId="43" borderId="12" xfId="0" applyNumberFormat="1" applyFont="1" applyFill="1" applyBorder="1" applyAlignment="1">
      <alignment horizontal="right" vertical="center"/>
    </xf>
    <xf numFmtId="4" fontId="3" fillId="42" borderId="12" xfId="0" applyNumberFormat="1" applyFont="1" applyFill="1" applyBorder="1" applyAlignment="1">
      <alignment horizontal="left" vertical="center"/>
    </xf>
    <xf numFmtId="2" fontId="3" fillId="8" borderId="12" xfId="0" applyNumberFormat="1" applyFont="1" applyFill="1" applyBorder="1" applyAlignment="1">
      <alignment horizontal="right" vertical="center"/>
    </xf>
    <xf numFmtId="2" fontId="3" fillId="39" borderId="12" xfId="0" applyNumberFormat="1" applyFont="1" applyFill="1" applyBorder="1" applyAlignment="1">
      <alignment horizontal="right" vertical="center"/>
    </xf>
    <xf numFmtId="2" fontId="3" fillId="8" borderId="12" xfId="0" applyNumberFormat="1" applyFont="1" applyFill="1" applyBorder="1" applyAlignment="1">
      <alignment horizontal="center" vertical="center"/>
    </xf>
    <xf numFmtId="10" fontId="3" fillId="42" borderId="12" xfId="0" applyNumberFormat="1" applyFont="1" applyFill="1" applyBorder="1" applyAlignment="1">
      <alignment horizontal="right" vertical="center"/>
    </xf>
    <xf numFmtId="4" fontId="3" fillId="22" borderId="12" xfId="0" applyNumberFormat="1" applyFont="1" applyFill="1" applyBorder="1" applyAlignment="1">
      <alignment horizontal="left" vertical="center"/>
    </xf>
    <xf numFmtId="4" fontId="3" fillId="8" borderId="12" xfId="0" applyNumberFormat="1" applyFont="1" applyFill="1" applyBorder="1" applyAlignment="1">
      <alignment horizontal="right" vertical="center"/>
    </xf>
    <xf numFmtId="4" fontId="3" fillId="22" borderId="12" xfId="0" applyNumberFormat="1" applyFont="1" applyFill="1" applyBorder="1" applyAlignment="1">
      <alignment horizontal="right" vertical="center"/>
    </xf>
    <xf numFmtId="2" fontId="2" fillId="8" borderId="12" xfId="0" applyNumberFormat="1" applyFont="1" applyFill="1" applyBorder="1" applyAlignment="1">
      <alignment horizontal="center" vertical="center"/>
    </xf>
    <xf numFmtId="2" fontId="3" fillId="39" borderId="12" xfId="0" applyNumberFormat="1" applyFont="1" applyFill="1" applyBorder="1" applyAlignment="1">
      <alignment horizontal="center" vertical="center"/>
    </xf>
    <xf numFmtId="2" fontId="3" fillId="41" borderId="12" xfId="0" applyNumberFormat="1" applyFont="1" applyFill="1" applyBorder="1" applyAlignment="1">
      <alignment horizontal="left" vertical="center"/>
    </xf>
    <xf numFmtId="4" fontId="3" fillId="11" borderId="12" xfId="0" applyNumberFormat="1" applyFont="1" applyFill="1" applyBorder="1" applyAlignment="1">
      <alignment horizontal="right" vertical="center"/>
    </xf>
    <xf numFmtId="4" fontId="79" fillId="43" borderId="15" xfId="0" applyNumberFormat="1" applyFont="1" applyFill="1" applyBorder="1" applyAlignment="1">
      <alignment horizontal="right" vertical="center"/>
    </xf>
    <xf numFmtId="4" fontId="3" fillId="43" borderId="14" xfId="0" applyNumberFormat="1" applyFont="1" applyFill="1" applyBorder="1" applyAlignment="1">
      <alignment horizontal="right" vertical="center"/>
    </xf>
    <xf numFmtId="4" fontId="3" fillId="43" borderId="16" xfId="0" applyNumberFormat="1" applyFont="1" applyFill="1" applyBorder="1" applyAlignment="1">
      <alignment horizontal="right" vertical="center"/>
    </xf>
    <xf numFmtId="0" fontId="0" fillId="40" borderId="3" xfId="0" applyFill="1" applyBorder="1" applyAlignment="1">
      <alignment/>
    </xf>
    <xf numFmtId="10" fontId="3" fillId="43" borderId="12" xfId="0" applyNumberFormat="1" applyFont="1" applyFill="1" applyBorder="1" applyAlignment="1">
      <alignment horizontal="right" vertical="center"/>
    </xf>
    <xf numFmtId="4" fontId="3" fillId="0" borderId="12" xfId="0" applyNumberFormat="1" applyFont="1" applyFill="1" applyBorder="1" applyAlignment="1">
      <alignment horizontal="right" vertical="center"/>
    </xf>
    <xf numFmtId="2" fontId="3" fillId="41" borderId="12" xfId="0" applyNumberFormat="1" applyFont="1" applyFill="1" applyBorder="1" applyAlignment="1">
      <alignment horizontal="left" vertical="center" shrinkToFit="1"/>
    </xf>
    <xf numFmtId="9" fontId="3" fillId="42" borderId="12" xfId="34" applyNumberFormat="1" applyFont="1" applyFill="1" applyBorder="1" applyAlignment="1">
      <alignment horizontal="right" vertical="center"/>
    </xf>
    <xf numFmtId="184" fontId="0" fillId="0" borderId="0" xfId="0" applyNumberFormat="1" applyAlignment="1">
      <alignment/>
    </xf>
    <xf numFmtId="2" fontId="3" fillId="41" borderId="12" xfId="0" applyNumberFormat="1" applyFont="1" applyFill="1" applyBorder="1" applyAlignment="1">
      <alignment horizontal="right" vertical="center"/>
    </xf>
    <xf numFmtId="10" fontId="3" fillId="8" borderId="12" xfId="0" applyNumberFormat="1" applyFont="1" applyFill="1" applyBorder="1" applyAlignment="1">
      <alignment horizontal="right" vertical="center"/>
    </xf>
    <xf numFmtId="2" fontId="3" fillId="40" borderId="13" xfId="0" applyNumberFormat="1" applyFont="1" applyFill="1" applyBorder="1" applyAlignment="1">
      <alignment horizontal="center" vertical="center"/>
    </xf>
    <xf numFmtId="2" fontId="3" fillId="40" borderId="14" xfId="0" applyNumberFormat="1" applyFont="1" applyFill="1" applyBorder="1" applyAlignment="1">
      <alignment horizontal="center" vertical="center"/>
    </xf>
    <xf numFmtId="185" fontId="3" fillId="22" borderId="12" xfId="34" applyNumberFormat="1" applyFont="1" applyFill="1" applyBorder="1" applyAlignment="1">
      <alignment horizontal="right" vertical="center"/>
    </xf>
    <xf numFmtId="10" fontId="3" fillId="22" borderId="12" xfId="0" applyNumberFormat="1" applyFont="1" applyFill="1" applyBorder="1" applyAlignment="1">
      <alignment horizontal="right" vertical="center"/>
    </xf>
    <xf numFmtId="186" fontId="0" fillId="0" borderId="0" xfId="0" applyNumberFormat="1" applyAlignment="1">
      <alignment/>
    </xf>
    <xf numFmtId="2" fontId="5" fillId="8" borderId="17" xfId="0" applyNumberFormat="1" applyFont="1" applyFill="1" applyBorder="1" applyAlignment="1">
      <alignment horizontal="center" vertical="center"/>
    </xf>
    <xf numFmtId="2" fontId="5" fillId="8" borderId="13" xfId="0" applyNumberFormat="1" applyFont="1" applyFill="1" applyBorder="1" applyAlignment="1">
      <alignment horizontal="center" vertical="center"/>
    </xf>
    <xf numFmtId="2" fontId="3" fillId="0" borderId="17" xfId="0" applyNumberFormat="1" applyFont="1" applyFill="1" applyBorder="1" applyAlignment="1">
      <alignment vertical="center"/>
    </xf>
    <xf numFmtId="2" fontId="3" fillId="0" borderId="13" xfId="0" applyNumberFormat="1" applyFont="1" applyFill="1" applyBorder="1" applyAlignment="1">
      <alignment vertical="center"/>
    </xf>
    <xf numFmtId="2" fontId="3" fillId="0" borderId="14" xfId="0" applyNumberFormat="1" applyFont="1" applyFill="1" applyBorder="1" applyAlignment="1">
      <alignment vertical="center"/>
    </xf>
    <xf numFmtId="2" fontId="3" fillId="40" borderId="15" xfId="0" applyNumberFormat="1" applyFont="1" applyFill="1" applyBorder="1" applyAlignment="1">
      <alignment horizontal="center" vertical="center"/>
    </xf>
    <xf numFmtId="2" fontId="3" fillId="40" borderId="16" xfId="0" applyNumberFormat="1" applyFont="1" applyFill="1" applyBorder="1" applyAlignment="1">
      <alignment horizontal="center" vertical="center"/>
    </xf>
    <xf numFmtId="187" fontId="0" fillId="0" borderId="0" xfId="0" applyNumberFormat="1" applyAlignment="1">
      <alignment/>
    </xf>
    <xf numFmtId="188" fontId="0" fillId="0" borderId="0" xfId="0" applyNumberFormat="1" applyAlignment="1">
      <alignment/>
    </xf>
    <xf numFmtId="189" fontId="0" fillId="0" borderId="0" xfId="0" applyNumberFormat="1" applyAlignment="1">
      <alignment/>
    </xf>
    <xf numFmtId="2" fontId="5" fillId="8" borderId="14" xfId="0" applyNumberFormat="1" applyFont="1" applyFill="1" applyBorder="1" applyAlignment="1">
      <alignment horizontal="center" vertical="center"/>
    </xf>
    <xf numFmtId="2" fontId="3" fillId="8" borderId="17" xfId="0" applyNumberFormat="1" applyFont="1" applyFill="1" applyBorder="1" applyAlignment="1">
      <alignment horizontal="left" vertical="center"/>
    </xf>
    <xf numFmtId="2" fontId="3" fillId="0" borderId="14" xfId="0" applyNumberFormat="1" applyFont="1" applyFill="1" applyBorder="1" applyAlignment="1">
      <alignment vertical="center"/>
    </xf>
    <xf numFmtId="0" fontId="0" fillId="0" borderId="0" xfId="0" applyAlignment="1">
      <alignment horizontal="right"/>
    </xf>
    <xf numFmtId="2" fontId="2" fillId="8" borderId="15" xfId="0" applyNumberFormat="1" applyFont="1" applyFill="1" applyBorder="1" applyAlignment="1">
      <alignment horizontal="center" vertical="center"/>
    </xf>
    <xf numFmtId="2" fontId="2" fillId="8" borderId="15" xfId="0" applyNumberFormat="1" applyFont="1" applyFill="1" applyBorder="1" applyAlignment="1">
      <alignment horizontal="right" vertical="center"/>
    </xf>
    <xf numFmtId="2" fontId="3" fillId="8" borderId="3" xfId="0" applyNumberFormat="1" applyFont="1" applyFill="1" applyBorder="1" applyAlignment="1">
      <alignment horizontal="left" vertical="center"/>
    </xf>
    <xf numFmtId="2" fontId="3" fillId="8" borderId="18" xfId="0" applyNumberFormat="1" applyFont="1" applyFill="1" applyBorder="1" applyAlignment="1">
      <alignment horizontal="left" vertical="center"/>
    </xf>
    <xf numFmtId="2" fontId="3" fillId="0" borderId="19" xfId="0" applyNumberFormat="1" applyFont="1" applyFill="1" applyBorder="1" applyAlignment="1">
      <alignment horizontal="right" vertical="center"/>
    </xf>
    <xf numFmtId="2" fontId="3" fillId="0" borderId="20" xfId="0" applyNumberFormat="1" applyFont="1" applyFill="1" applyBorder="1" applyAlignment="1">
      <alignment vertical="center"/>
    </xf>
    <xf numFmtId="2" fontId="3" fillId="0" borderId="21" xfId="0" applyNumberFormat="1" applyFont="1" applyFill="1" applyBorder="1" applyAlignment="1">
      <alignment vertical="center"/>
    </xf>
    <xf numFmtId="2" fontId="3" fillId="0" borderId="22" xfId="0" applyNumberFormat="1" applyFont="1" applyFill="1" applyBorder="1" applyAlignment="1">
      <alignment vertical="center"/>
    </xf>
    <xf numFmtId="2" fontId="3" fillId="39" borderId="3" xfId="0" applyNumberFormat="1" applyFont="1" applyFill="1" applyBorder="1" applyAlignment="1">
      <alignment horizontal="center" vertical="center"/>
    </xf>
    <xf numFmtId="2" fontId="3" fillId="0" borderId="3" xfId="0" applyNumberFormat="1" applyFont="1" applyFill="1" applyBorder="1" applyAlignment="1">
      <alignment horizontal="center" vertical="center"/>
    </xf>
    <xf numFmtId="2" fontId="3" fillId="8" borderId="3" xfId="0" applyNumberFormat="1" applyFont="1" applyFill="1" applyBorder="1" applyAlignment="1">
      <alignment horizontal="center" vertical="center"/>
    </xf>
    <xf numFmtId="2" fontId="3" fillId="41" borderId="18" xfId="0" applyNumberFormat="1" applyFont="1" applyFill="1" applyBorder="1" applyAlignment="1">
      <alignment horizontal="center" vertical="center"/>
    </xf>
    <xf numFmtId="2" fontId="3" fillId="41" borderId="23" xfId="0" applyNumberFormat="1" applyFont="1" applyFill="1" applyBorder="1" applyAlignment="1">
      <alignment horizontal="center" vertical="center"/>
    </xf>
    <xf numFmtId="2" fontId="3" fillId="41" borderId="22" xfId="0" applyNumberFormat="1" applyFont="1" applyFill="1" applyBorder="1" applyAlignment="1">
      <alignment horizontal="center" vertical="center"/>
    </xf>
    <xf numFmtId="2" fontId="3" fillId="41" borderId="3" xfId="0" applyNumberFormat="1" applyFont="1" applyFill="1" applyBorder="1" applyAlignment="1">
      <alignment horizontal="center" vertical="center"/>
    </xf>
    <xf numFmtId="2" fontId="3" fillId="41" borderId="3" xfId="0" applyNumberFormat="1" applyFont="1" applyFill="1" applyBorder="1" applyAlignment="1">
      <alignment horizontal="left" vertical="center"/>
    </xf>
    <xf numFmtId="4" fontId="3" fillId="42" borderId="3" xfId="0" applyNumberFormat="1" applyFont="1" applyFill="1" applyBorder="1" applyAlignment="1">
      <alignment horizontal="right" vertical="center"/>
    </xf>
    <xf numFmtId="185" fontId="3" fillId="24" borderId="3" xfId="34" applyNumberFormat="1" applyFont="1" applyFill="1" applyBorder="1" applyAlignment="1">
      <alignment horizontal="right" vertical="center"/>
    </xf>
    <xf numFmtId="2" fontId="3" fillId="40" borderId="3" xfId="0" applyNumberFormat="1" applyFont="1" applyFill="1" applyBorder="1" applyAlignment="1">
      <alignment horizontal="left" vertical="center"/>
    </xf>
    <xf numFmtId="4" fontId="3" fillId="11" borderId="3" xfId="0" applyNumberFormat="1" applyFont="1" applyFill="1" applyBorder="1" applyAlignment="1">
      <alignment horizontal="right" vertical="center"/>
    </xf>
    <xf numFmtId="0" fontId="0" fillId="40" borderId="3" xfId="0" applyFont="1" applyFill="1" applyBorder="1" applyAlignment="1">
      <alignment vertical="center"/>
    </xf>
    <xf numFmtId="0" fontId="0" fillId="40" borderId="3" xfId="0" applyFill="1" applyBorder="1" applyAlignment="1">
      <alignment vertical="center"/>
    </xf>
    <xf numFmtId="1" fontId="3" fillId="8" borderId="3" xfId="0" applyNumberFormat="1" applyFont="1" applyFill="1" applyBorder="1" applyAlignment="1">
      <alignment horizontal="left" vertical="center"/>
    </xf>
    <xf numFmtId="0" fontId="0" fillId="0" borderId="3" xfId="0" applyBorder="1" applyAlignment="1">
      <alignment/>
    </xf>
    <xf numFmtId="2" fontId="3" fillId="8" borderId="3" xfId="0" applyNumberFormat="1" applyFont="1" applyFill="1" applyBorder="1" applyAlignment="1">
      <alignment horizontal="right" vertical="center"/>
    </xf>
    <xf numFmtId="10" fontId="3" fillId="24" borderId="3" xfId="0" applyNumberFormat="1" applyFont="1" applyFill="1" applyBorder="1" applyAlignment="1">
      <alignment horizontal="right" vertical="center"/>
    </xf>
    <xf numFmtId="0" fontId="80" fillId="0" borderId="0" xfId="0" applyFont="1" applyAlignment="1">
      <alignment/>
    </xf>
    <xf numFmtId="4" fontId="3" fillId="8" borderId="3" xfId="0" applyNumberFormat="1" applyFont="1" applyFill="1" applyBorder="1" applyAlignment="1">
      <alignment horizontal="left" vertical="center"/>
    </xf>
    <xf numFmtId="4" fontId="3" fillId="8" borderId="3" xfId="0" applyNumberFormat="1" applyFont="1" applyFill="1" applyBorder="1" applyAlignment="1">
      <alignment horizontal="right" vertical="center"/>
    </xf>
    <xf numFmtId="2" fontId="3" fillId="39" borderId="3" xfId="0" applyNumberFormat="1" applyFont="1" applyFill="1" applyBorder="1" applyAlignment="1">
      <alignment horizontal="left" vertical="center"/>
    </xf>
    <xf numFmtId="2" fontId="3" fillId="39" borderId="3" xfId="0" applyNumberFormat="1" applyFont="1" applyFill="1" applyBorder="1" applyAlignment="1">
      <alignment horizontal="right" vertical="center"/>
    </xf>
    <xf numFmtId="2" fontId="3" fillId="39" borderId="24" xfId="0" applyNumberFormat="1" applyFont="1" applyFill="1" applyBorder="1" applyAlignment="1">
      <alignment horizontal="left" vertical="center"/>
    </xf>
    <xf numFmtId="0" fontId="0" fillId="0" borderId="3" xfId="0" applyBorder="1" applyAlignment="1">
      <alignment/>
    </xf>
    <xf numFmtId="2" fontId="3" fillId="40" borderId="17" xfId="0" applyNumberFormat="1" applyFont="1" applyFill="1" applyBorder="1" applyAlignment="1">
      <alignment horizontal="center" vertical="center"/>
    </xf>
    <xf numFmtId="185" fontId="3" fillId="43" borderId="12" xfId="34" applyNumberFormat="1" applyFont="1" applyFill="1" applyBorder="1" applyAlignment="1">
      <alignment horizontal="right" vertical="center"/>
    </xf>
    <xf numFmtId="2" fontId="3" fillId="8" borderId="25" xfId="0" applyNumberFormat="1" applyFont="1" applyFill="1" applyBorder="1" applyAlignment="1">
      <alignment horizontal="left" vertical="center"/>
    </xf>
    <xf numFmtId="2" fontId="2" fillId="8" borderId="12" xfId="0" applyNumberFormat="1" applyFont="1" applyFill="1" applyBorder="1" applyAlignment="1">
      <alignment horizontal="right" vertical="center"/>
    </xf>
    <xf numFmtId="2" fontId="3" fillId="0" borderId="17" xfId="0" applyNumberFormat="1" applyFont="1" applyFill="1" applyBorder="1" applyAlignment="1">
      <alignment horizontal="right" vertical="center"/>
    </xf>
    <xf numFmtId="4" fontId="3" fillId="8" borderId="12" xfId="0" applyNumberFormat="1" applyFont="1" applyFill="1" applyBorder="1" applyAlignment="1">
      <alignment horizontal="center" vertical="center"/>
    </xf>
    <xf numFmtId="0" fontId="0" fillId="0" borderId="0" xfId="0" applyFill="1" applyAlignment="1">
      <alignment/>
    </xf>
    <xf numFmtId="2" fontId="2" fillId="0" borderId="12" xfId="0" applyNumberFormat="1" applyFont="1" applyFill="1" applyBorder="1" applyAlignment="1">
      <alignment horizontal="center" vertical="center"/>
    </xf>
    <xf numFmtId="2" fontId="3" fillId="0" borderId="17" xfId="0" applyNumberFormat="1" applyFont="1" applyFill="1" applyBorder="1" applyAlignment="1">
      <alignment horizontal="left" vertical="center"/>
    </xf>
    <xf numFmtId="2" fontId="3" fillId="0" borderId="12" xfId="0" applyNumberFormat="1" applyFont="1" applyFill="1" applyBorder="1" applyAlignment="1">
      <alignment horizontal="center" vertical="center"/>
    </xf>
    <xf numFmtId="2" fontId="3" fillId="0" borderId="12" xfId="0" applyNumberFormat="1" applyFont="1" applyFill="1" applyBorder="1" applyAlignment="1">
      <alignment horizontal="right" vertical="center"/>
    </xf>
    <xf numFmtId="187" fontId="0" fillId="0" borderId="0" xfId="0" applyNumberFormat="1" applyFill="1" applyAlignment="1">
      <alignment/>
    </xf>
    <xf numFmtId="10" fontId="3" fillId="22" borderId="12" xfId="34" applyNumberFormat="1" applyFont="1" applyFill="1" applyBorder="1" applyAlignment="1">
      <alignment horizontal="right" vertical="center"/>
    </xf>
    <xf numFmtId="4" fontId="3" fillId="42" borderId="16" xfId="0" applyNumberFormat="1" applyFont="1" applyFill="1" applyBorder="1" applyAlignment="1">
      <alignment horizontal="right" vertical="center"/>
    </xf>
    <xf numFmtId="10" fontId="3" fillId="22" borderId="14" xfId="0" applyNumberFormat="1" applyFont="1" applyFill="1" applyBorder="1" applyAlignment="1">
      <alignment horizontal="right" vertical="center"/>
    </xf>
    <xf numFmtId="2" fontId="7" fillId="8" borderId="12" xfId="0" applyNumberFormat="1" applyFont="1" applyFill="1" applyBorder="1" applyAlignment="1">
      <alignment horizontal="center" vertical="center"/>
    </xf>
    <xf numFmtId="2" fontId="3" fillId="8" borderId="12" xfId="0" applyNumberFormat="1" applyFont="1" applyFill="1" applyBorder="1" applyAlignment="1">
      <alignment vertical="center"/>
    </xf>
    <xf numFmtId="2" fontId="3" fillId="8" borderId="17" xfId="0" applyNumberFormat="1" applyFont="1" applyFill="1" applyBorder="1" applyAlignment="1">
      <alignment vertical="center"/>
    </xf>
    <xf numFmtId="2" fontId="3" fillId="41" borderId="12" xfId="0" applyNumberFormat="1" applyFont="1" applyFill="1" applyBorder="1" applyAlignment="1">
      <alignment horizontal="left" vertical="center"/>
    </xf>
    <xf numFmtId="2" fontId="8" fillId="41" borderId="12" xfId="0" applyNumberFormat="1" applyFont="1" applyFill="1" applyBorder="1" applyAlignment="1">
      <alignment horizontal="left" vertical="center"/>
    </xf>
    <xf numFmtId="4" fontId="8" fillId="42" borderId="12" xfId="0" applyNumberFormat="1" applyFont="1" applyFill="1" applyBorder="1" applyAlignment="1">
      <alignment horizontal="right" vertical="center"/>
    </xf>
    <xf numFmtId="4" fontId="8" fillId="8" borderId="12" xfId="0" applyNumberFormat="1" applyFont="1" applyFill="1" applyBorder="1" applyAlignment="1">
      <alignment horizontal="right" vertical="center"/>
    </xf>
    <xf numFmtId="4" fontId="8" fillId="8" borderId="12" xfId="0" applyNumberFormat="1" applyFont="1" applyFill="1" applyBorder="1" applyAlignment="1">
      <alignment horizontal="left" vertical="center"/>
    </xf>
    <xf numFmtId="190" fontId="3" fillId="8" borderId="12" xfId="0" applyNumberFormat="1" applyFont="1" applyFill="1" applyBorder="1" applyAlignment="1">
      <alignment horizontal="left" vertical="center"/>
    </xf>
    <xf numFmtId="0" fontId="0" fillId="0" borderId="0" xfId="0" applyAlignment="1">
      <alignment horizontal="right"/>
    </xf>
    <xf numFmtId="49" fontId="3" fillId="8" borderId="12" xfId="0" applyNumberFormat="1" applyFont="1" applyFill="1" applyBorder="1" applyAlignment="1">
      <alignment horizontal="left" vertical="center"/>
    </xf>
    <xf numFmtId="4" fontId="3" fillId="41" borderId="12" xfId="0" applyNumberFormat="1" applyFont="1" applyFill="1" applyBorder="1" applyAlignment="1">
      <alignment horizontal="center" vertical="center"/>
    </xf>
    <xf numFmtId="1" fontId="3" fillId="8" borderId="12" xfId="0" applyNumberFormat="1" applyFont="1" applyFill="1" applyBorder="1" applyAlignment="1">
      <alignment horizontal="left" vertical="center"/>
    </xf>
    <xf numFmtId="1" fontId="3" fillId="42" borderId="12" xfId="0" applyNumberFormat="1" applyFont="1" applyFill="1" applyBorder="1" applyAlignment="1">
      <alignment horizontal="center" vertical="center"/>
    </xf>
    <xf numFmtId="191" fontId="3" fillId="11" borderId="12" xfId="0" applyNumberFormat="1" applyFont="1" applyFill="1" applyBorder="1" applyAlignment="1">
      <alignment horizontal="right" vertical="center"/>
    </xf>
    <xf numFmtId="2" fontId="4" fillId="8" borderId="12" xfId="0" applyNumberFormat="1" applyFont="1" applyFill="1" applyBorder="1" applyAlignment="1">
      <alignment horizontal="center" vertical="center"/>
    </xf>
    <xf numFmtId="192" fontId="4" fillId="8" borderId="12" xfId="0" applyNumberFormat="1" applyFont="1" applyFill="1" applyBorder="1" applyAlignment="1">
      <alignment horizontal="center" vertical="center"/>
    </xf>
    <xf numFmtId="2" fontId="3" fillId="39" borderId="12" xfId="0" applyNumberFormat="1" applyFont="1" applyFill="1" applyBorder="1" applyAlignment="1">
      <alignment horizontal="left" vertical="center" wrapText="1"/>
    </xf>
    <xf numFmtId="2" fontId="3" fillId="8" borderId="12" xfId="0" applyNumberFormat="1" applyFont="1" applyFill="1" applyBorder="1" applyAlignment="1" applyProtection="1">
      <alignment horizontal="center" vertical="center"/>
      <protection locked="0"/>
    </xf>
    <xf numFmtId="2" fontId="3" fillId="8" borderId="15" xfId="0" applyNumberFormat="1" applyFont="1" applyFill="1" applyBorder="1" applyAlignment="1">
      <alignment horizontal="center" vertical="center"/>
    </xf>
    <xf numFmtId="4" fontId="3" fillId="8" borderId="15" xfId="0" applyNumberFormat="1" applyFont="1" applyFill="1" applyBorder="1" applyAlignment="1" applyProtection="1">
      <alignment horizontal="right" vertical="center"/>
      <protection locked="0"/>
    </xf>
    <xf numFmtId="4" fontId="3" fillId="8" borderId="12" xfId="0" applyNumberFormat="1" applyFont="1" applyFill="1" applyBorder="1" applyAlignment="1" applyProtection="1">
      <alignment horizontal="right" vertical="center"/>
      <protection locked="0"/>
    </xf>
    <xf numFmtId="2" fontId="3" fillId="39" borderId="15" xfId="0" applyNumberFormat="1" applyFont="1" applyFill="1" applyBorder="1" applyAlignment="1">
      <alignment vertical="center" wrapText="1"/>
    </xf>
    <xf numFmtId="4" fontId="3" fillId="8" borderId="24" xfId="0" applyNumberFormat="1" applyFont="1" applyFill="1" applyBorder="1" applyAlignment="1">
      <alignment horizontal="left" vertical="center"/>
    </xf>
    <xf numFmtId="4" fontId="3" fillId="8" borderId="3" xfId="0" applyNumberFormat="1" applyFont="1" applyFill="1" applyBorder="1" applyAlignment="1">
      <alignment vertical="center"/>
    </xf>
    <xf numFmtId="0" fontId="0" fillId="0" borderId="0" xfId="0" applyFont="1" applyFill="1" applyBorder="1" applyAlignment="1">
      <alignment horizontal="right"/>
    </xf>
    <xf numFmtId="2" fontId="3" fillId="39" borderId="16" xfId="0" applyNumberFormat="1" applyFont="1" applyFill="1" applyBorder="1" applyAlignment="1">
      <alignment vertical="center" wrapText="1"/>
    </xf>
    <xf numFmtId="2" fontId="3" fillId="8" borderId="24" xfId="0" applyNumberFormat="1" applyFont="1" applyFill="1" applyBorder="1" applyAlignment="1">
      <alignment horizontal="left" vertical="center" wrapText="1"/>
    </xf>
    <xf numFmtId="4" fontId="3" fillId="8" borderId="25" xfId="0" applyNumberFormat="1" applyFont="1" applyFill="1" applyBorder="1" applyAlignment="1">
      <alignment horizontal="right" vertical="center"/>
    </xf>
    <xf numFmtId="2" fontId="3" fillId="8" borderId="16" xfId="0" applyNumberFormat="1" applyFont="1" applyFill="1" applyBorder="1" applyAlignment="1">
      <alignment horizontal="left" vertical="center"/>
    </xf>
    <xf numFmtId="43" fontId="3" fillId="8" borderId="12" xfId="0" applyNumberFormat="1" applyFont="1" applyFill="1" applyBorder="1" applyAlignment="1">
      <alignment horizontal="right" vertical="center"/>
    </xf>
    <xf numFmtId="43" fontId="3" fillId="42" borderId="12" xfId="0" applyNumberFormat="1" applyFont="1" applyFill="1" applyBorder="1" applyAlignment="1">
      <alignment horizontal="right" vertical="center"/>
    </xf>
    <xf numFmtId="191" fontId="3" fillId="8" borderId="12" xfId="0" applyNumberFormat="1" applyFont="1" applyFill="1" applyBorder="1" applyAlignment="1">
      <alignment horizontal="right" vertical="center"/>
    </xf>
    <xf numFmtId="0" fontId="0" fillId="0" borderId="0" xfId="358" applyFont="1" applyFill="1" applyBorder="1" applyAlignment="1" applyProtection="1">
      <alignment/>
      <protection locked="0"/>
    </xf>
    <xf numFmtId="0" fontId="0" fillId="0" borderId="0" xfId="0" applyFont="1" applyFill="1" applyBorder="1" applyAlignment="1" applyProtection="1">
      <alignment/>
      <protection locked="0"/>
    </xf>
    <xf numFmtId="2" fontId="2" fillId="8" borderId="12" xfId="0" applyNumberFormat="1" applyFont="1" applyFill="1" applyBorder="1" applyAlignment="1" applyProtection="1">
      <alignment horizontal="center" vertical="center"/>
      <protection locked="0"/>
    </xf>
    <xf numFmtId="2" fontId="3" fillId="0" borderId="19" xfId="358" applyNumberFormat="1" applyFont="1" applyFill="1" applyBorder="1" applyAlignment="1" applyProtection="1">
      <alignment horizontal="left" vertical="center"/>
      <protection locked="0"/>
    </xf>
    <xf numFmtId="2" fontId="3" fillId="0" borderId="20" xfId="358" applyNumberFormat="1" applyFont="1" applyFill="1" applyBorder="1" applyAlignment="1" applyProtection="1">
      <alignment horizontal="left" vertical="center"/>
      <protection locked="0"/>
    </xf>
    <xf numFmtId="2" fontId="3" fillId="0" borderId="20" xfId="358" applyNumberFormat="1" applyFont="1" applyFill="1" applyBorder="1" applyAlignment="1" applyProtection="1">
      <alignment horizontal="right" vertical="center"/>
      <protection locked="0"/>
    </xf>
    <xf numFmtId="2" fontId="3" fillId="0" borderId="16" xfId="358" applyNumberFormat="1" applyFont="1" applyFill="1" applyBorder="1" applyAlignment="1" applyProtection="1">
      <alignment horizontal="center" vertical="center"/>
      <protection locked="0"/>
    </xf>
    <xf numFmtId="2" fontId="3" fillId="40" borderId="24" xfId="0" applyNumberFormat="1" applyFont="1" applyFill="1" applyBorder="1" applyAlignment="1" applyProtection="1">
      <alignment horizontal="center" vertical="center"/>
      <protection locked="0"/>
    </xf>
    <xf numFmtId="2" fontId="3" fillId="40" borderId="26" xfId="0" applyNumberFormat="1" applyFont="1" applyFill="1" applyBorder="1" applyAlignment="1" applyProtection="1">
      <alignment horizontal="center" vertical="center"/>
      <protection locked="0"/>
    </xf>
    <xf numFmtId="2" fontId="3" fillId="40" borderId="13" xfId="0" applyNumberFormat="1" applyFont="1" applyFill="1" applyBorder="1" applyAlignment="1" applyProtection="1">
      <alignment horizontal="center" vertical="center"/>
      <protection locked="0"/>
    </xf>
    <xf numFmtId="2" fontId="3" fillId="40" borderId="17" xfId="0" applyNumberFormat="1" applyFont="1" applyFill="1" applyBorder="1" applyAlignment="1" applyProtection="1">
      <alignment horizontal="center" vertical="center"/>
      <protection locked="0"/>
    </xf>
    <xf numFmtId="2" fontId="3" fillId="0" borderId="12" xfId="358" applyNumberFormat="1" applyFont="1" applyFill="1" applyBorder="1" applyAlignment="1" applyProtection="1">
      <alignment horizontal="center" vertical="center"/>
      <protection locked="0"/>
    </xf>
    <xf numFmtId="2" fontId="3" fillId="40" borderId="12" xfId="0" applyNumberFormat="1" applyFont="1" applyFill="1" applyBorder="1" applyAlignment="1" applyProtection="1">
      <alignment horizontal="center" vertical="center"/>
      <protection locked="0"/>
    </xf>
    <xf numFmtId="2" fontId="3" fillId="41" borderId="12" xfId="0" applyNumberFormat="1" applyFont="1" applyFill="1" applyBorder="1" applyAlignment="1" applyProtection="1">
      <alignment horizontal="left" vertical="center"/>
      <protection locked="0"/>
    </xf>
    <xf numFmtId="4" fontId="3" fillId="42" borderId="12" xfId="0" applyNumberFormat="1" applyFont="1" applyFill="1" applyBorder="1" applyAlignment="1" applyProtection="1">
      <alignment horizontal="right" vertical="center"/>
      <protection/>
    </xf>
    <xf numFmtId="185" fontId="3" fillId="22" borderId="12" xfId="34" applyNumberFormat="1" applyFont="1" applyFill="1" applyBorder="1" applyAlignment="1" applyProtection="1">
      <alignment horizontal="right" vertical="center"/>
      <protection/>
    </xf>
    <xf numFmtId="2" fontId="3" fillId="41" borderId="12" xfId="0" applyNumberFormat="1" applyFont="1" applyFill="1" applyBorder="1" applyAlignment="1" applyProtection="1">
      <alignment horizontal="center" vertical="center"/>
      <protection locked="0"/>
    </xf>
    <xf numFmtId="0" fontId="0" fillId="0" borderId="3" xfId="358" applyFont="1" applyFill="1" applyBorder="1" applyAlignment="1" applyProtection="1">
      <alignment/>
      <protection locked="0"/>
    </xf>
    <xf numFmtId="0" fontId="0" fillId="0" borderId="12" xfId="358" applyFont="1" applyFill="1" applyBorder="1" applyAlignment="1" applyProtection="1">
      <alignment/>
      <protection locked="0"/>
    </xf>
    <xf numFmtId="2" fontId="3" fillId="8" borderId="12" xfId="0" applyNumberFormat="1" applyFont="1" applyFill="1" applyBorder="1" applyAlignment="1" applyProtection="1">
      <alignment horizontal="left" vertical="center"/>
      <protection locked="0"/>
    </xf>
    <xf numFmtId="2" fontId="3" fillId="39" borderId="12" xfId="0" applyNumberFormat="1" applyFont="1" applyFill="1" applyBorder="1" applyAlignment="1" applyProtection="1">
      <alignment horizontal="left" vertical="center"/>
      <protection locked="0"/>
    </xf>
    <xf numFmtId="2" fontId="3" fillId="0" borderId="24" xfId="0" applyNumberFormat="1" applyFont="1" applyFill="1" applyBorder="1" applyAlignment="1" applyProtection="1">
      <alignment horizontal="right" vertical="center"/>
      <protection locked="0"/>
    </xf>
    <xf numFmtId="2" fontId="3" fillId="8" borderId="12" xfId="0" applyNumberFormat="1" applyFont="1" applyFill="1" applyBorder="1" applyAlignment="1" applyProtection="1">
      <alignment vertical="center"/>
      <protection locked="0"/>
    </xf>
    <xf numFmtId="0" fontId="4" fillId="0" borderId="3" xfId="0" applyFont="1" applyFill="1" applyBorder="1" applyAlignment="1">
      <alignment vertical="center"/>
    </xf>
    <xf numFmtId="0" fontId="4" fillId="0" borderId="12" xfId="0" applyFont="1" applyFill="1" applyBorder="1" applyAlignment="1">
      <alignment vertical="center"/>
    </xf>
    <xf numFmtId="2" fontId="3" fillId="8" borderId="12" xfId="0" applyNumberFormat="1" applyFont="1" applyFill="1" applyBorder="1" applyAlignment="1" applyProtection="1">
      <alignment horizontal="right" vertical="center"/>
      <protection locked="0"/>
    </xf>
    <xf numFmtId="2" fontId="3" fillId="0" borderId="27" xfId="358" applyNumberFormat="1" applyFont="1" applyFill="1" applyBorder="1" applyAlignment="1" applyProtection="1">
      <alignment horizontal="left" vertical="center"/>
      <protection locked="0"/>
    </xf>
    <xf numFmtId="2" fontId="3" fillId="0" borderId="21" xfId="358" applyNumberFormat="1" applyFont="1" applyFill="1" applyBorder="1" applyAlignment="1" applyProtection="1">
      <alignment horizontal="right" vertical="center"/>
      <protection locked="0"/>
    </xf>
    <xf numFmtId="2" fontId="3" fillId="40" borderId="14" xfId="0" applyNumberFormat="1" applyFont="1" applyFill="1" applyBorder="1" applyAlignment="1" applyProtection="1">
      <alignment horizontal="center" vertical="center"/>
      <protection locked="0"/>
    </xf>
    <xf numFmtId="2" fontId="3" fillId="40" borderId="28" xfId="0" applyNumberFormat="1" applyFont="1" applyFill="1" applyBorder="1" applyAlignment="1" applyProtection="1">
      <alignment horizontal="center" vertical="center"/>
      <protection locked="0"/>
    </xf>
    <xf numFmtId="2" fontId="3" fillId="0" borderId="29" xfId="358" applyNumberFormat="1" applyFont="1" applyFill="1" applyBorder="1" applyAlignment="1" applyProtection="1">
      <alignment horizontal="center" vertical="center"/>
      <protection locked="0"/>
    </xf>
    <xf numFmtId="2" fontId="3" fillId="40" borderId="30" xfId="0" applyNumberFormat="1" applyFont="1" applyFill="1" applyBorder="1" applyAlignment="1" applyProtection="1">
      <alignment horizontal="center" vertical="center"/>
      <protection locked="0"/>
    </xf>
    <xf numFmtId="10" fontId="3" fillId="22" borderId="12" xfId="0" applyNumberFormat="1" applyFont="1" applyFill="1" applyBorder="1" applyAlignment="1" applyProtection="1">
      <alignment horizontal="right" vertical="center"/>
      <protection/>
    </xf>
    <xf numFmtId="2" fontId="3" fillId="0" borderId="12" xfId="358" applyNumberFormat="1" applyFont="1" applyFill="1" applyBorder="1" applyAlignment="1" applyProtection="1">
      <alignment horizontal="left" vertical="center" wrapText="1"/>
      <protection locked="0"/>
    </xf>
    <xf numFmtId="2" fontId="4" fillId="0" borderId="12" xfId="358" applyNumberFormat="1" applyFont="1" applyFill="1" applyBorder="1" applyAlignment="1" applyProtection="1">
      <alignment horizontal="left" vertical="center" wrapText="1"/>
      <protection locked="0"/>
    </xf>
    <xf numFmtId="2" fontId="9" fillId="0" borderId="12" xfId="358" applyNumberFormat="1" applyFont="1" applyFill="1" applyBorder="1" applyAlignment="1" applyProtection="1">
      <alignment horizontal="left" vertical="center" wrapText="1"/>
      <protection locked="0"/>
    </xf>
    <xf numFmtId="2" fontId="4" fillId="0" borderId="12" xfId="358" applyNumberFormat="1" applyFont="1" applyFill="1" applyBorder="1" applyAlignment="1" applyProtection="1">
      <alignment horizontal="left" vertical="center" wrapText="1"/>
      <protection locked="0"/>
    </xf>
    <xf numFmtId="0" fontId="0" fillId="0" borderId="3" xfId="0" applyFont="1" applyFill="1" applyBorder="1" applyAlignment="1" applyProtection="1">
      <alignment/>
      <protection locked="0"/>
    </xf>
    <xf numFmtId="2" fontId="3" fillId="39" borderId="24" xfId="0" applyNumberFormat="1" applyFont="1" applyFill="1" applyBorder="1" applyAlignment="1" applyProtection="1">
      <alignment horizontal="left" vertical="center"/>
      <protection locked="0"/>
    </xf>
    <xf numFmtId="2" fontId="3" fillId="8" borderId="25" xfId="0" applyNumberFormat="1" applyFont="1" applyFill="1" applyBorder="1" applyAlignment="1" applyProtection="1">
      <alignment horizontal="left" vertical="center"/>
      <protection locked="0"/>
    </xf>
    <xf numFmtId="2" fontId="3" fillId="8" borderId="16" xfId="0" applyNumberFormat="1" applyFont="1" applyFill="1" applyBorder="1" applyAlignment="1" applyProtection="1">
      <alignment vertical="center"/>
      <protection locked="0"/>
    </xf>
    <xf numFmtId="2" fontId="3" fillId="8" borderId="30" xfId="0" applyNumberFormat="1" applyFont="1" applyFill="1" applyBorder="1" applyAlignment="1" applyProtection="1">
      <alignment vertical="center"/>
      <protection locked="0"/>
    </xf>
    <xf numFmtId="0" fontId="0" fillId="0" borderId="0" xfId="0" applyAlignment="1" applyProtection="1">
      <alignment/>
      <protection locked="0"/>
    </xf>
    <xf numFmtId="0" fontId="0" fillId="0" borderId="0" xfId="0" applyAlignment="1" applyProtection="1">
      <alignment horizontal="right"/>
      <protection locked="0"/>
    </xf>
    <xf numFmtId="2" fontId="3" fillId="0" borderId="17" xfId="0" applyNumberFormat="1" applyFont="1" applyFill="1" applyBorder="1" applyAlignment="1" applyProtection="1">
      <alignment vertical="center"/>
      <protection locked="0"/>
    </xf>
    <xf numFmtId="2" fontId="3" fillId="0" borderId="13" xfId="0" applyNumberFormat="1" applyFont="1" applyFill="1" applyBorder="1" applyAlignment="1" applyProtection="1">
      <alignment vertical="center"/>
      <protection locked="0"/>
    </xf>
    <xf numFmtId="2" fontId="3" fillId="0" borderId="14" xfId="0" applyNumberFormat="1" applyFont="1" applyFill="1" applyBorder="1" applyAlignment="1" applyProtection="1">
      <alignment vertical="center"/>
      <protection locked="0"/>
    </xf>
    <xf numFmtId="2" fontId="3" fillId="8" borderId="17" xfId="0" applyNumberFormat="1" applyFont="1" applyFill="1" applyBorder="1" applyAlignment="1" applyProtection="1">
      <alignment horizontal="center" vertical="center"/>
      <protection locked="0"/>
    </xf>
    <xf numFmtId="2" fontId="3" fillId="8" borderId="13" xfId="0" applyNumberFormat="1" applyFont="1" applyFill="1" applyBorder="1" applyAlignment="1" applyProtection="1">
      <alignment horizontal="center" vertical="center"/>
      <protection locked="0"/>
    </xf>
    <xf numFmtId="2" fontId="3" fillId="8" borderId="14" xfId="0" applyNumberFormat="1" applyFont="1" applyFill="1" applyBorder="1" applyAlignment="1" applyProtection="1">
      <alignment horizontal="center" vertical="center"/>
      <protection locked="0"/>
    </xf>
    <xf numFmtId="2" fontId="3" fillId="40" borderId="15" xfId="0" applyNumberFormat="1" applyFont="1" applyFill="1" applyBorder="1" applyAlignment="1" applyProtection="1">
      <alignment horizontal="center" vertical="center"/>
      <protection locked="0"/>
    </xf>
    <xf numFmtId="4" fontId="3" fillId="8" borderId="17" xfId="0" applyNumberFormat="1" applyFont="1" applyFill="1" applyBorder="1" applyAlignment="1" applyProtection="1">
      <alignment horizontal="center" vertical="center"/>
      <protection locked="0"/>
    </xf>
    <xf numFmtId="4" fontId="3" fillId="8" borderId="13" xfId="0" applyNumberFormat="1" applyFont="1" applyFill="1" applyBorder="1" applyAlignment="1" applyProtection="1">
      <alignment horizontal="center" vertical="center"/>
      <protection locked="0"/>
    </xf>
    <xf numFmtId="4" fontId="3" fillId="8" borderId="14" xfId="0" applyNumberFormat="1" applyFont="1" applyFill="1" applyBorder="1" applyAlignment="1" applyProtection="1">
      <alignment horizontal="center" vertical="center"/>
      <protection locked="0"/>
    </xf>
    <xf numFmtId="4" fontId="8" fillId="8" borderId="17" xfId="0" applyNumberFormat="1" applyFont="1" applyFill="1" applyBorder="1" applyAlignment="1" applyProtection="1">
      <alignment horizontal="center" vertical="center"/>
      <protection locked="0"/>
    </xf>
    <xf numFmtId="4" fontId="8" fillId="8" borderId="13" xfId="0" applyNumberFormat="1" applyFont="1" applyFill="1" applyBorder="1" applyAlignment="1" applyProtection="1">
      <alignment horizontal="center" vertical="center"/>
      <protection locked="0"/>
    </xf>
    <xf numFmtId="4" fontId="3" fillId="11" borderId="12" xfId="0" applyNumberFormat="1" applyFont="1" applyFill="1" applyBorder="1" applyAlignment="1" applyProtection="1">
      <alignment horizontal="right" vertical="center"/>
      <protection/>
    </xf>
    <xf numFmtId="4" fontId="3" fillId="8" borderId="12" xfId="0" applyNumberFormat="1" applyFont="1" applyFill="1" applyBorder="1" applyAlignment="1" applyProtection="1">
      <alignment horizontal="left" vertical="center"/>
      <protection locked="0"/>
    </xf>
    <xf numFmtId="2" fontId="3" fillId="3" borderId="12" xfId="0" applyNumberFormat="1" applyFont="1" applyFill="1" applyBorder="1" applyAlignment="1" applyProtection="1">
      <alignment horizontal="right" vertical="center"/>
      <protection locked="0"/>
    </xf>
    <xf numFmtId="187" fontId="0" fillId="0" borderId="0" xfId="0" applyNumberFormat="1" applyAlignment="1" applyProtection="1">
      <alignment/>
      <protection locked="0"/>
    </xf>
    <xf numFmtId="2" fontId="3" fillId="0" borderId="12" xfId="0" applyNumberFormat="1" applyFont="1" applyFill="1" applyBorder="1" applyAlignment="1" applyProtection="1">
      <alignment horizontal="left" vertical="center"/>
      <protection locked="0"/>
    </xf>
    <xf numFmtId="2" fontId="3" fillId="0" borderId="12" xfId="0" applyNumberFormat="1" applyFont="1" applyFill="1" applyBorder="1" applyAlignment="1" applyProtection="1">
      <alignment horizontal="right" vertical="center"/>
      <protection locked="0"/>
    </xf>
    <xf numFmtId="2" fontId="3" fillId="39" borderId="12" xfId="0" applyNumberFormat="1" applyFont="1" applyFill="1" applyBorder="1" applyAlignment="1" applyProtection="1">
      <alignment horizontal="center" vertical="center"/>
      <protection locked="0"/>
    </xf>
    <xf numFmtId="43" fontId="3" fillId="39" borderId="12" xfId="0" applyNumberFormat="1" applyFont="1" applyFill="1" applyBorder="1" applyAlignment="1" applyProtection="1">
      <alignment horizontal="left" vertical="center" wrapText="1"/>
      <protection locked="0"/>
    </xf>
    <xf numFmtId="43" fontId="3" fillId="8" borderId="12" xfId="0" applyNumberFormat="1" applyFont="1" applyFill="1" applyBorder="1" applyAlignment="1" applyProtection="1">
      <alignment horizontal="center" vertical="center"/>
      <protection locked="0"/>
    </xf>
    <xf numFmtId="43" fontId="3" fillId="11" borderId="12" xfId="0" applyNumberFormat="1" applyFont="1" applyFill="1" applyBorder="1" applyAlignment="1" applyProtection="1">
      <alignment horizontal="right" vertical="center"/>
      <protection/>
    </xf>
    <xf numFmtId="2" fontId="3" fillId="40" borderId="13" xfId="0" applyNumberFormat="1" applyFont="1" applyFill="1" applyBorder="1" applyAlignment="1" applyProtection="1">
      <alignment horizontal="center" vertical="center"/>
      <protection locked="0"/>
    </xf>
    <xf numFmtId="2" fontId="3" fillId="40" borderId="14" xfId="0" applyNumberFormat="1" applyFont="1" applyFill="1" applyBorder="1" applyAlignment="1" applyProtection="1">
      <alignment horizontal="center" vertical="center"/>
      <protection locked="0"/>
    </xf>
    <xf numFmtId="3" fontId="3" fillId="42" borderId="12" xfId="0" applyNumberFormat="1" applyFont="1" applyFill="1" applyBorder="1" applyAlignment="1" applyProtection="1">
      <alignment horizontal="right" vertical="center"/>
      <protection/>
    </xf>
    <xf numFmtId="3" fontId="3" fillId="8" borderId="12" xfId="0" applyNumberFormat="1" applyFont="1" applyFill="1" applyBorder="1" applyAlignment="1" applyProtection="1">
      <alignment horizontal="right" vertical="center"/>
      <protection locked="0"/>
    </xf>
    <xf numFmtId="2" fontId="3" fillId="41" borderId="12" xfId="0" applyNumberFormat="1" applyFont="1" applyFill="1" applyBorder="1" applyAlignment="1" applyProtection="1">
      <alignment horizontal="center" vertical="center" wrapText="1"/>
      <protection locked="0"/>
    </xf>
    <xf numFmtId="10" fontId="3" fillId="42" borderId="12" xfId="0" applyNumberFormat="1" applyFont="1" applyFill="1" applyBorder="1" applyAlignment="1" applyProtection="1">
      <alignment horizontal="right" vertical="center"/>
      <protection/>
    </xf>
    <xf numFmtId="10" fontId="0" fillId="0" borderId="0" xfId="0" applyNumberFormat="1" applyAlignment="1" applyProtection="1">
      <alignment horizontal="center"/>
      <protection locked="0"/>
    </xf>
    <xf numFmtId="187" fontId="0" fillId="0" borderId="0" xfId="0" applyNumberFormat="1" applyAlignment="1" applyProtection="1">
      <alignment horizontal="center"/>
      <protection locked="0"/>
    </xf>
    <xf numFmtId="10" fontId="2" fillId="8" borderId="12" xfId="0" applyNumberFormat="1" applyFont="1" applyFill="1" applyBorder="1" applyAlignment="1" applyProtection="1">
      <alignment horizontal="center" vertical="center"/>
      <protection locked="0"/>
    </xf>
    <xf numFmtId="187" fontId="2" fillId="8" borderId="12" xfId="0" applyNumberFormat="1" applyFont="1" applyFill="1" applyBorder="1" applyAlignment="1" applyProtection="1">
      <alignment horizontal="center" vertical="center"/>
      <protection locked="0"/>
    </xf>
    <xf numFmtId="2" fontId="3" fillId="8" borderId="17" xfId="0" applyNumberFormat="1" applyFont="1" applyFill="1" applyBorder="1" applyAlignment="1" applyProtection="1">
      <alignment vertical="center"/>
      <protection locked="0"/>
    </xf>
    <xf numFmtId="2" fontId="3" fillId="8" borderId="13" xfId="0" applyNumberFormat="1" applyFont="1" applyFill="1" applyBorder="1" applyAlignment="1" applyProtection="1">
      <alignment vertical="center"/>
      <protection locked="0"/>
    </xf>
    <xf numFmtId="10" fontId="3" fillId="8" borderId="13" xfId="0" applyNumberFormat="1" applyFont="1" applyFill="1" applyBorder="1" applyAlignment="1" applyProtection="1">
      <alignment horizontal="center" vertical="center"/>
      <protection locked="0"/>
    </xf>
    <xf numFmtId="187" fontId="3" fillId="8" borderId="13" xfId="0" applyNumberFormat="1" applyFont="1" applyFill="1" applyBorder="1" applyAlignment="1" applyProtection="1">
      <alignment horizontal="center" vertical="center"/>
      <protection locked="0"/>
    </xf>
    <xf numFmtId="2" fontId="3" fillId="8" borderId="13" xfId="0" applyNumberFormat="1" applyFont="1" applyFill="1" applyBorder="1" applyAlignment="1" applyProtection="1">
      <alignment vertical="center"/>
      <protection locked="0"/>
    </xf>
    <xf numFmtId="2" fontId="3" fillId="8" borderId="13" xfId="0" applyNumberFormat="1" applyFont="1" applyFill="1" applyBorder="1" applyAlignment="1" applyProtection="1">
      <alignment vertical="center"/>
      <protection locked="0"/>
    </xf>
    <xf numFmtId="187" fontId="3" fillId="41" borderId="17" xfId="0" applyNumberFormat="1" applyFont="1" applyFill="1" applyBorder="1" applyAlignment="1" applyProtection="1">
      <alignment horizontal="center" vertical="center"/>
      <protection locked="0"/>
    </xf>
    <xf numFmtId="187" fontId="3" fillId="41" borderId="13" xfId="0" applyNumberFormat="1" applyFont="1" applyFill="1" applyBorder="1" applyAlignment="1" applyProtection="1">
      <alignment horizontal="center" vertical="center"/>
      <protection locked="0"/>
    </xf>
    <xf numFmtId="187" fontId="3" fillId="41" borderId="15" xfId="0" applyNumberFormat="1" applyFont="1" applyFill="1" applyBorder="1" applyAlignment="1" applyProtection="1">
      <alignment horizontal="center" vertical="center"/>
      <protection locked="0"/>
    </xf>
    <xf numFmtId="2" fontId="3" fillId="40" borderId="12" xfId="0" applyNumberFormat="1" applyFont="1" applyFill="1" applyBorder="1" applyAlignment="1" applyProtection="1">
      <alignment horizontal="center" vertical="center" wrapText="1"/>
      <protection locked="0"/>
    </xf>
    <xf numFmtId="2" fontId="3" fillId="40" borderId="28" xfId="0" applyNumberFormat="1" applyFont="1" applyFill="1" applyBorder="1" applyAlignment="1" applyProtection="1">
      <alignment horizontal="center" vertical="center" wrapText="1"/>
      <protection locked="0"/>
    </xf>
    <xf numFmtId="187" fontId="3" fillId="41" borderId="16" xfId="0" applyNumberFormat="1" applyFont="1" applyFill="1" applyBorder="1" applyAlignment="1" applyProtection="1">
      <alignment horizontal="center" vertical="center"/>
      <protection locked="0"/>
    </xf>
    <xf numFmtId="2" fontId="3" fillId="40" borderId="16" xfId="0" applyNumberFormat="1" applyFont="1" applyFill="1" applyBorder="1" applyAlignment="1" applyProtection="1">
      <alignment horizontal="center" vertical="center"/>
      <protection locked="0"/>
    </xf>
    <xf numFmtId="2" fontId="3" fillId="40" borderId="30" xfId="0" applyNumberFormat="1" applyFont="1" applyFill="1" applyBorder="1" applyAlignment="1" applyProtection="1">
      <alignment horizontal="center" vertical="center" wrapText="1"/>
      <protection locked="0"/>
    </xf>
    <xf numFmtId="187" fontId="3" fillId="42" borderId="12" xfId="0" applyNumberFormat="1" applyFont="1" applyFill="1" applyBorder="1" applyAlignment="1" applyProtection="1">
      <alignment horizontal="right" vertical="center"/>
      <protection/>
    </xf>
    <xf numFmtId="4" fontId="3" fillId="42" borderId="12" xfId="0" applyNumberFormat="1" applyFont="1" applyFill="1" applyBorder="1" applyAlignment="1" applyProtection="1">
      <alignment horizontal="left" vertical="center"/>
      <protection/>
    </xf>
    <xf numFmtId="4" fontId="3" fillId="42" borderId="12" xfId="0" applyNumberFormat="1" applyFont="1" applyFill="1" applyBorder="1" applyAlignment="1" applyProtection="1">
      <alignment vertical="center"/>
      <protection/>
    </xf>
    <xf numFmtId="10" fontId="3" fillId="8" borderId="12" xfId="0" applyNumberFormat="1" applyFont="1" applyFill="1" applyBorder="1" applyAlignment="1" applyProtection="1">
      <alignment horizontal="center" vertical="center"/>
      <protection locked="0"/>
    </xf>
    <xf numFmtId="187" fontId="3" fillId="8" borderId="12" xfId="0" applyNumberFormat="1" applyFont="1" applyFill="1" applyBorder="1" applyAlignment="1" applyProtection="1">
      <alignment horizontal="right" vertical="center"/>
      <protection locked="0"/>
    </xf>
    <xf numFmtId="187" fontId="9" fillId="0" borderId="0" xfId="0" applyNumberFormat="1" applyFont="1" applyAlignment="1" applyProtection="1">
      <alignment horizontal="right"/>
      <protection locked="0"/>
    </xf>
    <xf numFmtId="0" fontId="9" fillId="0" borderId="0" xfId="0" applyFont="1" applyAlignment="1" applyProtection="1">
      <alignment horizontal="center"/>
      <protection locked="0"/>
    </xf>
    <xf numFmtId="0" fontId="9" fillId="0" borderId="0" xfId="0" applyFont="1" applyAlignment="1" applyProtection="1">
      <alignment/>
      <protection locked="0"/>
    </xf>
    <xf numFmtId="10" fontId="0" fillId="0" borderId="0" xfId="0" applyNumberFormat="1" applyFont="1" applyAlignment="1" applyProtection="1">
      <alignment horizontal="center"/>
      <protection locked="0"/>
    </xf>
    <xf numFmtId="187" fontId="0" fillId="0" borderId="0" xfId="0" applyNumberFormat="1" applyAlignment="1" applyProtection="1">
      <alignment horizontal="right"/>
      <protection locked="0"/>
    </xf>
    <xf numFmtId="2" fontId="3" fillId="40" borderId="17" xfId="0" applyNumberFormat="1" applyFont="1" applyFill="1" applyBorder="1" applyAlignment="1" applyProtection="1">
      <alignment horizontal="center" vertical="center"/>
      <protection locked="0"/>
    </xf>
    <xf numFmtId="4" fontId="3" fillId="41" borderId="12" xfId="0" applyNumberFormat="1" applyFont="1" applyFill="1" applyBorder="1" applyAlignment="1" applyProtection="1">
      <alignment horizontal="center" vertical="center"/>
      <protection locked="0"/>
    </xf>
    <xf numFmtId="4" fontId="3" fillId="11" borderId="15" xfId="0" applyNumberFormat="1" applyFont="1" applyFill="1" applyBorder="1" applyAlignment="1" applyProtection="1">
      <alignment horizontal="right" vertical="center"/>
      <protection/>
    </xf>
    <xf numFmtId="0" fontId="0" fillId="0" borderId="0" xfId="0" applyAlignment="1" applyProtection="1">
      <alignment horizontal="center"/>
      <protection locked="0"/>
    </xf>
    <xf numFmtId="2" fontId="3" fillId="40" borderId="31" xfId="0" applyNumberFormat="1" applyFont="1" applyFill="1" applyBorder="1" applyAlignment="1" applyProtection="1">
      <alignment horizontal="center" vertical="center"/>
      <protection locked="0"/>
    </xf>
    <xf numFmtId="4" fontId="81" fillId="42" borderId="12" xfId="0" applyNumberFormat="1" applyFont="1" applyFill="1" applyBorder="1" applyAlignment="1" applyProtection="1">
      <alignment horizontal="right" vertical="center"/>
      <protection/>
    </xf>
    <xf numFmtId="4" fontId="4" fillId="11" borderId="12" xfId="0" applyNumberFormat="1" applyFont="1" applyFill="1" applyBorder="1" applyAlignment="1" applyProtection="1">
      <alignment horizontal="right" vertical="center"/>
      <protection/>
    </xf>
    <xf numFmtId="9" fontId="3" fillId="22" borderId="12" xfId="34" applyNumberFormat="1" applyFont="1" applyFill="1" applyBorder="1" applyAlignment="1" applyProtection="1">
      <alignment horizontal="right" vertical="center"/>
      <protection/>
    </xf>
    <xf numFmtId="4" fontId="3" fillId="42" borderId="15" xfId="0" applyNumberFormat="1" applyFont="1" applyFill="1" applyBorder="1" applyAlignment="1" applyProtection="1">
      <alignment horizontal="right" vertical="center"/>
      <protection/>
    </xf>
    <xf numFmtId="2" fontId="3" fillId="8" borderId="15" xfId="0" applyNumberFormat="1" applyFont="1" applyFill="1" applyBorder="1" applyAlignment="1" applyProtection="1">
      <alignment horizontal="center" vertical="center"/>
      <protection locked="0"/>
    </xf>
    <xf numFmtId="2" fontId="3" fillId="8" borderId="31" xfId="0" applyNumberFormat="1" applyFont="1" applyFill="1" applyBorder="1" applyAlignment="1" applyProtection="1">
      <alignment horizontal="center" vertical="center"/>
      <protection locked="0"/>
    </xf>
    <xf numFmtId="2" fontId="3" fillId="8" borderId="16" xfId="0" applyNumberFormat="1" applyFont="1" applyFill="1" applyBorder="1" applyAlignment="1" applyProtection="1">
      <alignment horizontal="center" vertical="center"/>
      <protection locked="0"/>
    </xf>
    <xf numFmtId="4" fontId="0" fillId="0" borderId="0" xfId="0" applyNumberFormat="1" applyAlignment="1" applyProtection="1">
      <alignment/>
      <protection locked="0"/>
    </xf>
    <xf numFmtId="2" fontId="3" fillId="8" borderId="12" xfId="0" applyNumberFormat="1" applyFont="1" applyFill="1" applyBorder="1" applyAlignment="1" applyProtection="1">
      <alignment horizontal="left" vertical="center" wrapText="1"/>
      <protection locked="0"/>
    </xf>
    <xf numFmtId="2" fontId="3" fillId="8" borderId="3" xfId="0" applyNumberFormat="1" applyFont="1" applyFill="1" applyBorder="1" applyAlignment="1" applyProtection="1">
      <alignment horizontal="left" vertical="center"/>
      <protection locked="0"/>
    </xf>
    <xf numFmtId="0" fontId="0" fillId="0" borderId="3" xfId="0" applyBorder="1" applyAlignment="1" applyProtection="1">
      <alignment/>
      <protection locked="0"/>
    </xf>
    <xf numFmtId="10" fontId="9" fillId="0" borderId="0" xfId="0" applyNumberFormat="1" applyFont="1" applyAlignment="1" applyProtection="1">
      <alignment horizontal="center"/>
      <protection locked="0"/>
    </xf>
    <xf numFmtId="10" fontId="0" fillId="0" borderId="0" xfId="0" applyNumberFormat="1" applyAlignment="1" applyProtection="1">
      <alignment/>
      <protection locked="0"/>
    </xf>
    <xf numFmtId="0" fontId="0" fillId="0" borderId="0" xfId="0" applyFont="1" applyAlignment="1" applyProtection="1">
      <alignment/>
      <protection locked="0"/>
    </xf>
    <xf numFmtId="187" fontId="0" fillId="0" borderId="0" xfId="34" applyNumberFormat="1" applyFont="1" applyAlignment="1" applyProtection="1">
      <alignment horizontal="center"/>
      <protection locked="0"/>
    </xf>
    <xf numFmtId="187" fontId="0" fillId="0" borderId="0" xfId="34" applyNumberFormat="1" applyFont="1" applyAlignment="1" applyProtection="1">
      <alignment horizontal="right"/>
      <protection locked="0"/>
    </xf>
    <xf numFmtId="0" fontId="11" fillId="0" borderId="0" xfId="0" applyFont="1" applyAlignment="1" applyProtection="1">
      <alignment/>
      <protection locked="0"/>
    </xf>
    <xf numFmtId="0" fontId="82" fillId="0" borderId="0" xfId="0" applyFont="1" applyAlignment="1" applyProtection="1">
      <alignment/>
      <protection locked="0"/>
    </xf>
    <xf numFmtId="0" fontId="0" fillId="44" borderId="0" xfId="0" applyFill="1" applyAlignment="1" applyProtection="1">
      <alignment/>
      <protection locked="0"/>
    </xf>
    <xf numFmtId="0" fontId="60" fillId="11" borderId="0" xfId="0" applyFont="1" applyFill="1" applyAlignment="1">
      <alignment vertical="center"/>
    </xf>
    <xf numFmtId="0" fontId="60" fillId="0" borderId="0" xfId="0" applyFont="1" applyFill="1" applyAlignment="1">
      <alignment vertical="center"/>
    </xf>
    <xf numFmtId="0" fontId="83" fillId="0" borderId="0" xfId="0" applyFont="1" applyFill="1" applyAlignment="1">
      <alignment horizontal="center" vertical="center"/>
    </xf>
    <xf numFmtId="0" fontId="15" fillId="0" borderId="0" xfId="359" applyFont="1" applyFill="1" applyBorder="1" applyAlignment="1" applyProtection="1">
      <alignment horizontal="center" vertical="center"/>
      <protection locked="0"/>
    </xf>
    <xf numFmtId="0" fontId="4" fillId="0" borderId="0" xfId="359" applyFont="1" applyFill="1" applyBorder="1" applyAlignment="1" applyProtection="1">
      <alignment vertical="center"/>
      <protection locked="0"/>
    </xf>
    <xf numFmtId="0" fontId="4" fillId="0" borderId="0" xfId="359" applyFont="1" applyFill="1" applyBorder="1" applyAlignment="1" applyProtection="1">
      <alignment horizontal="center" vertical="center"/>
      <protection locked="0"/>
    </xf>
    <xf numFmtId="0" fontId="16" fillId="0" borderId="32" xfId="359" applyFont="1" applyFill="1" applyBorder="1" applyAlignment="1" applyProtection="1">
      <alignment horizontal="center" vertical="center" textRotation="255" shrinkToFit="1"/>
      <protection locked="0"/>
    </xf>
    <xf numFmtId="0" fontId="16" fillId="0" borderId="3" xfId="359" applyFont="1" applyFill="1" applyBorder="1" applyAlignment="1" applyProtection="1">
      <alignment horizontal="center" vertical="center" shrinkToFit="1"/>
      <protection locked="0"/>
    </xf>
    <xf numFmtId="0" fontId="9" fillId="0" borderId="32" xfId="359" applyFont="1" applyFill="1" applyBorder="1" applyAlignment="1" applyProtection="1">
      <alignment horizontal="center" vertical="center" shrinkToFit="1"/>
      <protection locked="0"/>
    </xf>
    <xf numFmtId="0" fontId="9" fillId="0" borderId="18" xfId="359" applyFont="1" applyFill="1" applyBorder="1" applyAlignment="1" applyProtection="1">
      <alignment horizontal="center" vertical="center" shrinkToFit="1"/>
      <protection locked="0"/>
    </xf>
    <xf numFmtId="0" fontId="9" fillId="0" borderId="23" xfId="359" applyFont="1" applyFill="1" applyBorder="1" applyAlignment="1" applyProtection="1">
      <alignment horizontal="center" vertical="center" shrinkToFit="1"/>
      <protection locked="0"/>
    </xf>
    <xf numFmtId="0" fontId="16" fillId="0" borderId="33" xfId="359" applyFont="1" applyFill="1" applyBorder="1" applyAlignment="1" applyProtection="1">
      <alignment horizontal="center" vertical="center" textRotation="255" shrinkToFit="1"/>
      <protection locked="0"/>
    </xf>
    <xf numFmtId="0" fontId="9" fillId="0" borderId="33" xfId="359" applyFont="1" applyFill="1" applyBorder="1" applyAlignment="1" applyProtection="1">
      <alignment horizontal="center" vertical="center" shrinkToFit="1"/>
      <protection locked="0"/>
    </xf>
    <xf numFmtId="0" fontId="9" fillId="0" borderId="3" xfId="359" applyFont="1" applyFill="1" applyBorder="1" applyAlignment="1" applyProtection="1">
      <alignment horizontal="center" vertical="center" shrinkToFit="1"/>
      <protection locked="0"/>
    </xf>
    <xf numFmtId="0" fontId="84" fillId="0" borderId="3" xfId="359" applyFont="1" applyFill="1" applyBorder="1" applyAlignment="1" applyProtection="1">
      <alignment horizontal="center" vertical="center" shrinkToFit="1"/>
      <protection locked="0"/>
    </xf>
    <xf numFmtId="193" fontId="9" fillId="0" borderId="3" xfId="359" applyNumberFormat="1" applyFont="1" applyFill="1" applyBorder="1" applyAlignment="1" applyProtection="1">
      <alignment horizontal="center" vertical="center" shrinkToFit="1"/>
      <protection locked="0"/>
    </xf>
    <xf numFmtId="0" fontId="85" fillId="24" borderId="19" xfId="359" applyFont="1" applyFill="1" applyBorder="1" applyAlignment="1" applyProtection="1">
      <alignment horizontal="center" vertical="center" shrinkToFit="1"/>
      <protection locked="0"/>
    </xf>
    <xf numFmtId="0" fontId="85" fillId="24" borderId="20" xfId="359" applyFont="1" applyFill="1" applyBorder="1" applyAlignment="1" applyProtection="1">
      <alignment horizontal="center" vertical="center" shrinkToFit="1"/>
      <protection locked="0"/>
    </xf>
    <xf numFmtId="0" fontId="85" fillId="24" borderId="21" xfId="359" applyFont="1" applyFill="1" applyBorder="1" applyAlignment="1" applyProtection="1">
      <alignment horizontal="center" vertical="center" shrinkToFit="1"/>
      <protection locked="0"/>
    </xf>
    <xf numFmtId="193" fontId="18" fillId="24" borderId="3" xfId="359" applyNumberFormat="1" applyFont="1" applyFill="1" applyBorder="1" applyAlignment="1" applyProtection="1">
      <alignment horizontal="center" vertical="center" shrinkToFit="1"/>
      <protection/>
    </xf>
    <xf numFmtId="0" fontId="16" fillId="44" borderId="19" xfId="359" applyFont="1" applyFill="1" applyBorder="1" applyAlignment="1" applyProtection="1">
      <alignment horizontal="center" vertical="center" shrinkToFit="1"/>
      <protection locked="0"/>
    </xf>
    <xf numFmtId="0" fontId="16" fillId="45" borderId="19" xfId="359" applyFont="1" applyFill="1" applyBorder="1" applyAlignment="1" applyProtection="1">
      <alignment horizontal="center" vertical="center" shrinkToFit="1"/>
      <protection locked="0"/>
    </xf>
    <xf numFmtId="0" fontId="17" fillId="24" borderId="19" xfId="359" applyFont="1" applyFill="1" applyBorder="1" applyAlignment="1" applyProtection="1">
      <alignment horizontal="center" vertical="center" shrinkToFit="1"/>
      <protection locked="0"/>
    </xf>
    <xf numFmtId="0" fontId="17" fillId="24" borderId="20" xfId="359" applyFont="1" applyFill="1" applyBorder="1" applyAlignment="1" applyProtection="1">
      <alignment horizontal="center" vertical="center" shrinkToFit="1"/>
      <protection locked="0"/>
    </xf>
    <xf numFmtId="0" fontId="17" fillId="24" borderId="21" xfId="359" applyFont="1" applyFill="1" applyBorder="1" applyAlignment="1" applyProtection="1">
      <alignment horizontal="center" vertical="center" shrinkToFit="1"/>
      <protection locked="0"/>
    </xf>
    <xf numFmtId="0" fontId="16" fillId="0" borderId="19" xfId="359" applyFont="1" applyFill="1" applyBorder="1" applyAlignment="1" applyProtection="1">
      <alignment horizontal="center" vertical="center" shrinkToFit="1"/>
      <protection locked="0"/>
    </xf>
    <xf numFmtId="0" fontId="16" fillId="0" borderId="18" xfId="359" applyFont="1" applyFill="1" applyBorder="1" applyAlignment="1" applyProtection="1">
      <alignment horizontal="center" vertical="center" shrinkToFit="1"/>
      <protection locked="0"/>
    </xf>
    <xf numFmtId="0" fontId="16" fillId="0" borderId="23" xfId="359" applyFont="1" applyFill="1" applyBorder="1" applyAlignment="1" applyProtection="1">
      <alignment horizontal="center" vertical="center" shrinkToFit="1"/>
      <protection locked="0"/>
    </xf>
    <xf numFmtId="0" fontId="16" fillId="18" borderId="3" xfId="359" applyFont="1" applyFill="1" applyBorder="1" applyAlignment="1" applyProtection="1">
      <alignment horizontal="center" vertical="center" shrinkToFit="1"/>
      <protection locked="0"/>
    </xf>
    <xf numFmtId="0" fontId="16" fillId="0" borderId="21" xfId="359" applyFont="1" applyFill="1" applyBorder="1" applyAlignment="1" applyProtection="1">
      <alignment horizontal="center" vertical="center" shrinkToFit="1"/>
      <protection locked="0"/>
    </xf>
    <xf numFmtId="0" fontId="9" fillId="0" borderId="22" xfId="359" applyFont="1" applyFill="1" applyBorder="1" applyAlignment="1" applyProtection="1">
      <alignment horizontal="center" vertical="center" shrinkToFit="1"/>
      <protection locked="0"/>
    </xf>
    <xf numFmtId="0" fontId="9" fillId="0" borderId="19" xfId="359" applyFont="1" applyFill="1" applyBorder="1" applyAlignment="1" applyProtection="1">
      <alignment horizontal="center" vertical="center" shrinkToFit="1"/>
      <protection locked="0"/>
    </xf>
    <xf numFmtId="0" fontId="9" fillId="0" borderId="20" xfId="359" applyFont="1" applyFill="1" applyBorder="1" applyAlignment="1" applyProtection="1">
      <alignment horizontal="center" vertical="center" shrinkToFit="1"/>
      <protection locked="0"/>
    </xf>
    <xf numFmtId="194" fontId="86" fillId="11" borderId="3" xfId="0" applyNumberFormat="1" applyFont="1" applyFill="1" applyBorder="1" applyAlignment="1" applyProtection="1">
      <alignment horizontal="right" vertical="center" shrinkToFit="1"/>
      <protection locked="0"/>
    </xf>
    <xf numFmtId="194" fontId="86" fillId="11" borderId="3" xfId="0" applyNumberFormat="1" applyFont="1" applyFill="1" applyBorder="1" applyAlignment="1" applyProtection="1">
      <alignment horizontal="right" vertical="center" shrinkToFit="1"/>
      <protection/>
    </xf>
    <xf numFmtId="194" fontId="86" fillId="24" borderId="3" xfId="0" applyNumberFormat="1" applyFont="1" applyFill="1" applyBorder="1" applyAlignment="1" applyProtection="1">
      <alignment horizontal="right" vertical="center" shrinkToFit="1"/>
      <protection/>
    </xf>
    <xf numFmtId="194" fontId="18" fillId="24" borderId="3" xfId="359" applyNumberFormat="1" applyFont="1" applyFill="1" applyBorder="1" applyAlignment="1" applyProtection="1">
      <alignment horizontal="right" vertical="center" shrinkToFit="1"/>
      <protection/>
    </xf>
    <xf numFmtId="194" fontId="87" fillId="24" borderId="3" xfId="0" applyNumberFormat="1" applyFont="1" applyFill="1" applyBorder="1" applyAlignment="1" applyProtection="1">
      <alignment horizontal="right" vertical="center" shrinkToFit="1"/>
      <protection/>
    </xf>
    <xf numFmtId="193" fontId="19" fillId="24" borderId="3" xfId="359" applyNumberFormat="1" applyFont="1" applyFill="1" applyBorder="1" applyAlignment="1" applyProtection="1">
      <alignment horizontal="center" vertical="center" shrinkToFit="1"/>
      <protection/>
    </xf>
    <xf numFmtId="187" fontId="16" fillId="0" borderId="0" xfId="359" applyNumberFormat="1" applyFont="1" applyFill="1" applyBorder="1" applyAlignment="1" applyProtection="1">
      <alignment horizontal="right" vertical="center"/>
      <protection locked="0"/>
    </xf>
    <xf numFmtId="0" fontId="9" fillId="0" borderId="21" xfId="359" applyFont="1" applyFill="1" applyBorder="1" applyAlignment="1" applyProtection="1">
      <alignment horizontal="center" vertical="center" shrinkToFit="1"/>
      <protection locked="0"/>
    </xf>
    <xf numFmtId="187" fontId="9" fillId="0" borderId="32" xfId="359" applyNumberFormat="1" applyFont="1" applyFill="1" applyBorder="1" applyAlignment="1" applyProtection="1">
      <alignment horizontal="center" vertical="center" shrinkToFit="1"/>
      <protection locked="0"/>
    </xf>
    <xf numFmtId="187" fontId="9" fillId="0" borderId="33" xfId="359" applyNumberFormat="1" applyFont="1" applyFill="1" applyBorder="1" applyAlignment="1" applyProtection="1">
      <alignment horizontal="center" vertical="center" shrinkToFit="1"/>
      <protection locked="0"/>
    </xf>
    <xf numFmtId="187" fontId="9" fillId="0" borderId="3" xfId="359" applyNumberFormat="1" applyFont="1" applyFill="1" applyBorder="1" applyAlignment="1" applyProtection="1">
      <alignment horizontal="right" vertical="center" shrinkToFit="1"/>
      <protection locked="0"/>
    </xf>
    <xf numFmtId="187" fontId="18" fillId="24" borderId="3" xfId="359" applyNumberFormat="1" applyFont="1" applyFill="1" applyBorder="1" applyAlignment="1" applyProtection="1">
      <alignment horizontal="right" vertical="center" shrinkToFit="1"/>
      <protection/>
    </xf>
    <xf numFmtId="187" fontId="87" fillId="24" borderId="3" xfId="0" applyNumberFormat="1" applyFont="1" applyFill="1" applyBorder="1" applyAlignment="1" applyProtection="1">
      <alignment horizontal="right" vertical="center" shrinkToFit="1"/>
      <protection/>
    </xf>
    <xf numFmtId="0" fontId="20" fillId="0" borderId="0" xfId="359" applyFont="1" applyFill="1" applyBorder="1" applyAlignment="1" applyProtection="1">
      <alignment vertical="center"/>
      <protection locked="0"/>
    </xf>
    <xf numFmtId="0" fontId="16" fillId="0" borderId="0" xfId="359" applyFont="1" applyFill="1" applyBorder="1" applyAlignment="1" applyProtection="1">
      <alignment horizontal="center" vertical="center" shrinkToFit="1"/>
      <protection locked="0"/>
    </xf>
    <xf numFmtId="43" fontId="16" fillId="0" borderId="0" xfId="359" applyNumberFormat="1" applyFont="1" applyFill="1" applyBorder="1" applyAlignment="1" applyProtection="1">
      <alignment horizontal="center" vertical="center" shrinkToFit="1"/>
      <protection locked="0"/>
    </xf>
    <xf numFmtId="194" fontId="16" fillId="0" borderId="0" xfId="359" applyNumberFormat="1" applyFont="1" applyFill="1" applyBorder="1" applyAlignment="1" applyProtection="1">
      <alignment horizontal="center" vertical="center" shrinkToFit="1"/>
      <protection locked="0"/>
    </xf>
    <xf numFmtId="193" fontId="16" fillId="0" borderId="0" xfId="359" applyNumberFormat="1" applyFont="1" applyFill="1" applyBorder="1" applyAlignment="1" applyProtection="1">
      <alignment horizontal="center" vertical="center" shrinkToFit="1"/>
      <protection locked="0"/>
    </xf>
    <xf numFmtId="184" fontId="16" fillId="0" borderId="0" xfId="359" applyNumberFormat="1" applyFont="1" applyFill="1" applyBorder="1" applyAlignment="1" applyProtection="1">
      <alignment horizontal="center" vertical="center" shrinkToFit="1"/>
      <protection locked="0"/>
    </xf>
    <xf numFmtId="186" fontId="17" fillId="0" borderId="0" xfId="359" applyNumberFormat="1" applyFont="1" applyFill="1" applyBorder="1" applyAlignment="1" applyProtection="1">
      <alignment horizontal="center" vertical="center" shrinkToFit="1"/>
      <protection locked="0"/>
    </xf>
    <xf numFmtId="0" fontId="17" fillId="0" borderId="0" xfId="359" applyFont="1" applyFill="1" applyBorder="1" applyAlignment="1" applyProtection="1">
      <alignment horizontal="center" vertical="center" shrinkToFit="1"/>
      <protection locked="0"/>
    </xf>
    <xf numFmtId="0" fontId="16" fillId="0" borderId="0" xfId="359" applyFont="1" applyFill="1" applyAlignment="1" applyProtection="1">
      <alignment horizontal="center" vertical="center" shrinkToFit="1"/>
      <protection locked="0"/>
    </xf>
    <xf numFmtId="0" fontId="9" fillId="0" borderId="0" xfId="359" applyFont="1" applyFill="1" applyBorder="1" applyAlignment="1" applyProtection="1">
      <alignment horizontal="center" vertical="center"/>
      <protection locked="0"/>
    </xf>
    <xf numFmtId="0" fontId="9" fillId="0" borderId="0" xfId="359" applyFont="1" applyFill="1" applyAlignment="1" applyProtection="1">
      <alignment horizontal="center" vertical="center" shrinkToFit="1"/>
      <protection locked="0"/>
    </xf>
    <xf numFmtId="0" fontId="20" fillId="0" borderId="0" xfId="359" applyFill="1" applyBorder="1" applyAlignment="1" applyProtection="1">
      <alignment vertical="center"/>
      <protection locked="0"/>
    </xf>
    <xf numFmtId="186" fontId="16" fillId="0" borderId="0" xfId="359" applyNumberFormat="1" applyFont="1" applyFill="1" applyBorder="1" applyAlignment="1" applyProtection="1">
      <alignment horizontal="center" vertical="center" shrinkToFit="1"/>
      <protection locked="0"/>
    </xf>
    <xf numFmtId="0" fontId="9" fillId="0" borderId="0" xfId="359" applyFont="1" applyFill="1" applyBorder="1" applyAlignment="1" applyProtection="1">
      <alignment horizontal="center" vertical="center"/>
      <protection locked="0"/>
    </xf>
    <xf numFmtId="0" fontId="9" fillId="0" borderId="0" xfId="359" applyFont="1" applyFill="1" applyBorder="1" applyAlignment="1" applyProtection="1">
      <alignment horizontal="center" vertical="center" shrinkToFit="1"/>
      <protection locked="0"/>
    </xf>
    <xf numFmtId="0" fontId="18" fillId="0" borderId="0" xfId="359" applyFont="1" applyFill="1" applyBorder="1" applyAlignment="1" applyProtection="1">
      <alignment horizontal="center" vertical="center" shrinkToFit="1"/>
      <protection locked="0"/>
    </xf>
    <xf numFmtId="0" fontId="15" fillId="0" borderId="0" xfId="359" applyFont="1" applyFill="1" applyBorder="1" applyAlignment="1" applyProtection="1">
      <alignment vertical="center"/>
      <protection locked="0"/>
    </xf>
    <xf numFmtId="0" fontId="18" fillId="0" borderId="0" xfId="359" applyFont="1" applyFill="1" applyBorder="1" applyAlignment="1" applyProtection="1">
      <alignment horizontal="center" vertical="center"/>
      <protection locked="0"/>
    </xf>
    <xf numFmtId="0" fontId="9" fillId="0" borderId="0" xfId="359" applyFont="1" applyFill="1" applyAlignment="1" applyProtection="1">
      <alignment horizontal="center" vertical="center"/>
      <protection locked="0"/>
    </xf>
    <xf numFmtId="193" fontId="9" fillId="0" borderId="3" xfId="359" applyNumberFormat="1" applyFont="1" applyBorder="1" applyAlignment="1">
      <alignment horizontal="center" vertical="center" shrinkToFit="1"/>
      <protection/>
    </xf>
    <xf numFmtId="0" fontId="88" fillId="43" borderId="3" xfId="210" applyFont="1" applyFill="1" applyBorder="1" applyAlignment="1">
      <alignment horizontal="center" vertical="center" shrinkToFit="1"/>
      <protection/>
    </xf>
    <xf numFmtId="0" fontId="16" fillId="11" borderId="3" xfId="359" applyFont="1" applyFill="1" applyBorder="1" applyAlignment="1" applyProtection="1">
      <alignment horizontal="center" vertical="center" shrinkToFit="1"/>
      <protection locked="0"/>
    </xf>
    <xf numFmtId="0" fontId="16" fillId="11" borderId="19" xfId="359" applyFont="1" applyFill="1" applyBorder="1" applyAlignment="1" applyProtection="1">
      <alignment horizontal="center" vertical="center" shrinkToFit="1"/>
      <protection locked="0"/>
    </xf>
    <xf numFmtId="0" fontId="16" fillId="11" borderId="21" xfId="359" applyFont="1" applyFill="1" applyBorder="1" applyAlignment="1" applyProtection="1">
      <alignment horizontal="center" vertical="center" shrinkToFit="1"/>
      <protection locked="0"/>
    </xf>
    <xf numFmtId="193" fontId="9" fillId="11" borderId="3" xfId="359" applyNumberFormat="1" applyFont="1" applyFill="1" applyBorder="1" applyAlignment="1" applyProtection="1">
      <alignment horizontal="center" vertical="center" shrinkToFit="1"/>
      <protection locked="0"/>
    </xf>
    <xf numFmtId="193" fontId="9" fillId="0" borderId="3" xfId="210" applyNumberFormat="1" applyFont="1" applyFill="1" applyBorder="1" applyAlignment="1">
      <alignment horizontal="center" vertical="center" shrinkToFit="1"/>
      <protection/>
    </xf>
    <xf numFmtId="0" fontId="9" fillId="0" borderId="3" xfId="210" applyFont="1" applyFill="1" applyBorder="1" applyAlignment="1">
      <alignment horizontal="center" vertical="center" shrinkToFit="1"/>
      <protection/>
    </xf>
    <xf numFmtId="184" fontId="9" fillId="11" borderId="3" xfId="359" applyNumberFormat="1" applyFont="1" applyFill="1" applyBorder="1" applyAlignment="1" applyProtection="1">
      <alignment horizontal="center" vertical="center" shrinkToFit="1"/>
      <protection locked="0"/>
    </xf>
    <xf numFmtId="193" fontId="14" fillId="11" borderId="3" xfId="359" applyNumberFormat="1" applyFont="1" applyFill="1" applyBorder="1" applyAlignment="1" applyProtection="1">
      <alignment horizontal="center" vertical="center" shrinkToFit="1"/>
      <protection locked="0"/>
    </xf>
    <xf numFmtId="193" fontId="14" fillId="8" borderId="3" xfId="359" applyNumberFormat="1" applyFont="1" applyFill="1" applyBorder="1" applyAlignment="1" applyProtection="1">
      <alignment horizontal="center" vertical="center" shrinkToFit="1"/>
      <protection locked="0"/>
    </xf>
    <xf numFmtId="193" fontId="14" fillId="8" borderId="3" xfId="359" applyNumberFormat="1" applyFont="1" applyFill="1" applyBorder="1" applyAlignment="1">
      <alignment horizontal="center" vertical="center" shrinkToFit="1"/>
      <protection/>
    </xf>
    <xf numFmtId="184" fontId="9" fillId="0" borderId="3" xfId="359" applyNumberFormat="1" applyFont="1" applyFill="1" applyBorder="1" applyAlignment="1" applyProtection="1">
      <alignment horizontal="right" vertical="center" shrinkToFit="1"/>
      <protection locked="0"/>
    </xf>
    <xf numFmtId="194" fontId="86" fillId="11" borderId="3" xfId="0" applyNumberFormat="1" applyFont="1" applyFill="1" applyBorder="1" applyAlignment="1">
      <alignment horizontal="right" vertical="center" shrinkToFit="1"/>
    </xf>
    <xf numFmtId="184" fontId="9" fillId="11" borderId="3" xfId="359" applyNumberFormat="1" applyFont="1" applyFill="1" applyBorder="1" applyAlignment="1">
      <alignment horizontal="right" vertical="center" shrinkToFit="1"/>
      <protection/>
    </xf>
    <xf numFmtId="184" fontId="9" fillId="0" borderId="3" xfId="359" applyNumberFormat="1" applyFont="1" applyFill="1" applyBorder="1" applyAlignment="1">
      <alignment horizontal="right" vertical="center" shrinkToFit="1"/>
      <protection/>
    </xf>
    <xf numFmtId="184" fontId="9" fillId="0" borderId="3" xfId="359" applyNumberFormat="1" applyFont="1" applyBorder="1" applyAlignment="1">
      <alignment horizontal="right" vertical="center" shrinkToFit="1"/>
      <protection/>
    </xf>
    <xf numFmtId="187" fontId="9" fillId="0" borderId="0" xfId="359" applyNumberFormat="1" applyFont="1" applyFill="1" applyAlignment="1">
      <alignment horizontal="left" vertical="center" shrinkToFit="1"/>
      <protection/>
    </xf>
    <xf numFmtId="0" fontId="86" fillId="0" borderId="3" xfId="210" applyNumberFormat="1" applyFont="1" applyFill="1" applyBorder="1" applyAlignment="1">
      <alignment horizontal="center" vertical="center" shrinkToFit="1"/>
      <protection/>
    </xf>
    <xf numFmtId="0" fontId="86" fillId="0" borderId="3" xfId="210" applyNumberFormat="1" applyFont="1" applyFill="1" applyBorder="1" applyAlignment="1">
      <alignment horizontal="center" vertical="center"/>
      <protection/>
    </xf>
    <xf numFmtId="193" fontId="9" fillId="0" borderId="3" xfId="359" applyNumberFormat="1" applyFont="1" applyFill="1" applyBorder="1" applyAlignment="1">
      <alignment horizontal="center" vertical="center" shrinkToFit="1"/>
      <protection/>
    </xf>
    <xf numFmtId="0" fontId="86" fillId="0" borderId="3" xfId="210" applyFont="1" applyFill="1" applyBorder="1" applyAlignment="1">
      <alignment horizontal="center" vertical="center"/>
      <protection/>
    </xf>
    <xf numFmtId="0" fontId="86" fillId="0" borderId="3" xfId="210" applyFont="1" applyFill="1" applyBorder="1" applyAlignment="1">
      <alignment horizontal="right" vertical="center"/>
      <protection/>
    </xf>
    <xf numFmtId="0" fontId="16" fillId="0" borderId="20" xfId="359" applyFont="1" applyFill="1" applyBorder="1" applyAlignment="1" applyProtection="1">
      <alignment horizontal="center" vertical="center" shrinkToFit="1"/>
      <protection locked="0"/>
    </xf>
    <xf numFmtId="184" fontId="9" fillId="0" borderId="3" xfId="359" applyNumberFormat="1" applyFont="1" applyFill="1" applyBorder="1" applyAlignment="1" applyProtection="1">
      <alignment horizontal="center" vertical="center" shrinkToFit="1"/>
      <protection locked="0"/>
    </xf>
    <xf numFmtId="0" fontId="16" fillId="0" borderId="0" xfId="359" applyFont="1" applyFill="1" applyBorder="1" applyAlignment="1" applyProtection="1">
      <alignment horizontal="center" vertical="center" shrinkToFit="1"/>
      <protection locked="0"/>
    </xf>
    <xf numFmtId="193" fontId="9" fillId="0" borderId="0" xfId="359" applyNumberFormat="1" applyFont="1" applyFill="1" applyBorder="1" applyAlignment="1" applyProtection="1">
      <alignment horizontal="center" vertical="center" shrinkToFit="1"/>
      <protection locked="0"/>
    </xf>
    <xf numFmtId="193" fontId="9" fillId="0" borderId="3" xfId="359" applyNumberFormat="1" applyFont="1" applyBorder="1" applyAlignment="1">
      <alignment horizontal="right" vertical="center" shrinkToFit="1"/>
      <protection/>
    </xf>
    <xf numFmtId="0" fontId="18" fillId="0" borderId="0" xfId="359" applyFont="1" applyFill="1" applyBorder="1" applyAlignment="1" applyProtection="1">
      <alignment vertical="center"/>
      <protection locked="0"/>
    </xf>
    <xf numFmtId="184" fontId="18" fillId="0" borderId="0" xfId="359" applyNumberFormat="1" applyFont="1" applyFill="1" applyBorder="1" applyAlignment="1" applyProtection="1">
      <alignment horizontal="center" vertical="center" shrinkToFit="1"/>
      <protection locked="0"/>
    </xf>
    <xf numFmtId="194" fontId="86" fillId="0" borderId="3" xfId="0" applyNumberFormat="1" applyFont="1" applyFill="1" applyBorder="1" applyAlignment="1" applyProtection="1">
      <alignment horizontal="right" vertical="center" shrinkToFit="1"/>
      <protection/>
    </xf>
    <xf numFmtId="184" fontId="9" fillId="11" borderId="3" xfId="359" applyNumberFormat="1" applyFont="1" applyFill="1" applyBorder="1" applyAlignment="1" applyProtection="1">
      <alignment horizontal="right" vertical="center" shrinkToFit="1"/>
      <protection/>
    </xf>
    <xf numFmtId="184" fontId="9" fillId="11" borderId="3" xfId="359" applyNumberFormat="1" applyFont="1" applyFill="1" applyBorder="1" applyAlignment="1" applyProtection="1">
      <alignment horizontal="right" vertical="center" shrinkToFit="1"/>
      <protection locked="0"/>
    </xf>
    <xf numFmtId="43" fontId="4" fillId="0" borderId="0" xfId="359" applyNumberFormat="1" applyFont="1" applyFill="1" applyBorder="1" applyAlignment="1" applyProtection="1">
      <alignment vertical="center"/>
      <protection locked="0"/>
    </xf>
    <xf numFmtId="184" fontId="9" fillId="0" borderId="0" xfId="359" applyNumberFormat="1" applyFont="1" applyFill="1" applyBorder="1" applyAlignment="1" applyProtection="1">
      <alignment vertical="center"/>
      <protection locked="0"/>
    </xf>
    <xf numFmtId="43" fontId="22" fillId="0" borderId="0" xfId="359" applyNumberFormat="1" applyFont="1" applyFill="1" applyBorder="1" applyAlignment="1" applyProtection="1">
      <alignment vertical="center"/>
      <protection locked="0"/>
    </xf>
    <xf numFmtId="187" fontId="18" fillId="0" borderId="0" xfId="359" applyNumberFormat="1" applyFont="1" applyFill="1" applyBorder="1" applyAlignment="1" applyProtection="1">
      <alignment horizontal="right" vertical="center"/>
      <protection locked="0"/>
    </xf>
    <xf numFmtId="187" fontId="17" fillId="0" borderId="0" xfId="359" applyNumberFormat="1" applyFont="1" applyFill="1" applyBorder="1" applyAlignment="1" applyProtection="1">
      <alignment horizontal="right" vertical="center"/>
      <protection locked="0"/>
    </xf>
    <xf numFmtId="184" fontId="15" fillId="0" borderId="0" xfId="359" applyNumberFormat="1" applyFont="1" applyFill="1" applyBorder="1" applyAlignment="1" applyProtection="1">
      <alignment vertical="center"/>
      <protection locked="0"/>
    </xf>
    <xf numFmtId="0" fontId="16" fillId="11" borderId="0" xfId="359" applyFont="1" applyFill="1" applyBorder="1" applyAlignment="1" applyProtection="1">
      <alignment horizontal="center" vertical="center" shrinkToFit="1"/>
      <protection locked="0"/>
    </xf>
    <xf numFmtId="193" fontId="20" fillId="0" borderId="0" xfId="359" applyNumberFormat="1" applyFill="1" applyBorder="1" applyAlignment="1" applyProtection="1">
      <alignment vertical="center"/>
      <protection locked="0"/>
    </xf>
    <xf numFmtId="193" fontId="15" fillId="0" borderId="0" xfId="359" applyNumberFormat="1" applyFont="1" applyFill="1" applyBorder="1" applyAlignment="1" applyProtection="1">
      <alignment vertical="center"/>
      <protection locked="0"/>
    </xf>
    <xf numFmtId="0" fontId="9" fillId="11" borderId="0" xfId="359" applyFont="1" applyFill="1" applyBorder="1" applyAlignment="1" applyProtection="1">
      <alignment horizontal="center" vertical="center" shrinkToFit="1"/>
      <protection locked="0"/>
    </xf>
    <xf numFmtId="0" fontId="20" fillId="0" borderId="0" xfId="359" applyFill="1" applyBorder="1" applyAlignment="1" applyProtection="1">
      <alignment horizontal="center" vertical="center"/>
      <protection locked="0"/>
    </xf>
    <xf numFmtId="43" fontId="20" fillId="0" borderId="0" xfId="359" applyNumberFormat="1" applyFill="1" applyBorder="1" applyAlignment="1" applyProtection="1">
      <alignment vertical="center"/>
      <protection locked="0"/>
    </xf>
    <xf numFmtId="193" fontId="4" fillId="0" borderId="0" xfId="359" applyNumberFormat="1" applyFont="1" applyFill="1" applyBorder="1" applyAlignment="1" applyProtection="1">
      <alignment vertical="center"/>
      <protection locked="0"/>
    </xf>
    <xf numFmtId="9" fontId="4" fillId="0" borderId="0" xfId="34" applyNumberFormat="1" applyFont="1" applyFill="1" applyBorder="1" applyAlignment="1" applyProtection="1">
      <alignment vertical="center"/>
      <protection locked="0"/>
    </xf>
    <xf numFmtId="193" fontId="4" fillId="0" borderId="0" xfId="359" applyNumberFormat="1" applyFont="1" applyFill="1" applyBorder="1" applyAlignment="1" applyProtection="1">
      <alignment horizontal="right" vertical="center"/>
      <protection locked="0"/>
    </xf>
    <xf numFmtId="186" fontId="60" fillId="0" borderId="0" xfId="0" applyNumberFormat="1" applyFont="1" applyFill="1" applyAlignment="1">
      <alignment vertical="center"/>
    </xf>
    <xf numFmtId="186" fontId="18" fillId="0" borderId="0" xfId="359" applyNumberFormat="1" applyFont="1" applyFill="1" applyBorder="1" applyAlignment="1" applyProtection="1">
      <alignment vertical="center"/>
      <protection locked="0"/>
    </xf>
    <xf numFmtId="0" fontId="89" fillId="0" borderId="0" xfId="0" applyFont="1" applyFill="1" applyBorder="1" applyAlignment="1" applyProtection="1">
      <alignment vertical="center"/>
      <protection locked="0"/>
    </xf>
    <xf numFmtId="0" fontId="90" fillId="0" borderId="0" xfId="0" applyFont="1" applyFill="1" applyBorder="1" applyAlignment="1" applyProtection="1">
      <alignment vertical="center"/>
      <protection locked="0"/>
    </xf>
    <xf numFmtId="186" fontId="9" fillId="0" borderId="0" xfId="359" applyNumberFormat="1" applyFont="1" applyFill="1" applyBorder="1" applyAlignment="1" applyProtection="1">
      <alignment vertical="center"/>
      <protection locked="0"/>
    </xf>
    <xf numFmtId="0" fontId="9" fillId="0" borderId="0" xfId="359" applyFont="1" applyFill="1" applyBorder="1" applyAlignment="1" applyProtection="1">
      <alignment vertical="center"/>
      <protection locked="0"/>
    </xf>
    <xf numFmtId="195" fontId="20" fillId="0" borderId="0" xfId="359" applyNumberFormat="1" applyFill="1" applyBorder="1" applyAlignment="1" applyProtection="1">
      <alignment vertical="center"/>
      <protection locked="0"/>
    </xf>
    <xf numFmtId="187" fontId="20" fillId="0" borderId="0" xfId="359" applyNumberFormat="1" applyFill="1" applyBorder="1" applyAlignment="1" applyProtection="1">
      <alignment vertical="center"/>
      <protection locked="0"/>
    </xf>
    <xf numFmtId="9" fontId="20" fillId="0" borderId="0" xfId="359" applyNumberFormat="1" applyFill="1" applyBorder="1" applyAlignment="1" applyProtection="1">
      <alignment vertical="center"/>
      <protection locked="0"/>
    </xf>
    <xf numFmtId="195" fontId="9" fillId="0" borderId="0" xfId="359" applyNumberFormat="1" applyFont="1" applyFill="1" applyBorder="1" applyAlignment="1" applyProtection="1">
      <alignment vertical="center"/>
      <protection locked="0"/>
    </xf>
    <xf numFmtId="187" fontId="9" fillId="0" borderId="0" xfId="359" applyNumberFormat="1" applyFont="1" applyFill="1" applyBorder="1" applyAlignment="1" applyProtection="1">
      <alignment vertical="center"/>
      <protection locked="0"/>
    </xf>
    <xf numFmtId="0" fontId="86" fillId="0" borderId="0" xfId="359" applyFont="1" applyFill="1" applyBorder="1" applyAlignment="1" applyProtection="1">
      <alignment vertical="center"/>
      <protection locked="0"/>
    </xf>
    <xf numFmtId="187" fontId="9" fillId="0" borderId="0" xfId="359" applyNumberFormat="1" applyFont="1" applyFill="1" applyBorder="1" applyAlignment="1" applyProtection="1">
      <alignment horizontal="right" vertical="center"/>
      <protection locked="0"/>
    </xf>
    <xf numFmtId="186" fontId="20" fillId="0" borderId="0" xfId="359" applyNumberFormat="1" applyFill="1" applyBorder="1" applyAlignment="1" applyProtection="1">
      <alignment vertical="center"/>
      <protection locked="0"/>
    </xf>
    <xf numFmtId="196" fontId="20" fillId="0" borderId="0" xfId="359" applyNumberFormat="1" applyFill="1" applyBorder="1" applyAlignment="1" applyProtection="1">
      <alignment vertical="center"/>
      <protection locked="0"/>
    </xf>
    <xf numFmtId="186" fontId="20" fillId="0" borderId="0" xfId="359" applyNumberFormat="1" applyFont="1" applyFill="1" applyBorder="1" applyAlignment="1" applyProtection="1">
      <alignment vertical="center"/>
      <protection locked="0"/>
    </xf>
    <xf numFmtId="187" fontId="4" fillId="0" borderId="0" xfId="359" applyNumberFormat="1" applyFont="1" applyFill="1" applyBorder="1" applyAlignment="1" applyProtection="1">
      <alignment horizontal="right" vertical="center"/>
      <protection locked="0"/>
    </xf>
    <xf numFmtId="186" fontId="4" fillId="0" borderId="0" xfId="359" applyNumberFormat="1" applyFont="1" applyFill="1" applyBorder="1" applyAlignment="1" applyProtection="1">
      <alignment vertical="center"/>
      <protection locked="0"/>
    </xf>
    <xf numFmtId="184" fontId="4" fillId="0" borderId="0" xfId="359" applyNumberFormat="1" applyFont="1" applyFill="1" applyBorder="1" applyAlignment="1" applyProtection="1">
      <alignment vertical="center"/>
      <protection locked="0"/>
    </xf>
    <xf numFmtId="0" fontId="60" fillId="0" borderId="0" xfId="0" applyFont="1" applyFill="1" applyAlignment="1">
      <alignment vertical="center" wrapText="1"/>
    </xf>
    <xf numFmtId="0" fontId="91" fillId="0" borderId="0" xfId="0" applyFont="1" applyFill="1" applyAlignment="1">
      <alignment vertical="center"/>
    </xf>
  </cellXfs>
  <cellStyles count="510">
    <cellStyle name="Normal" xfId="0"/>
    <cellStyle name="Currency [0]" xfId="15"/>
    <cellStyle name="输入" xfId="16"/>
    <cellStyle name="好_2013年开发区财政预算表(20130125定稿)_上报2014年预算调整附表（上报）" xfId="17"/>
    <cellStyle name="Currency" xfId="18"/>
    <cellStyle name="常规 2 2 4" xfId="19"/>
    <cellStyle name="20% - 强调文字颜色 3" xfId="20"/>
    <cellStyle name="0000/00 2 3" xfId="21"/>
    <cellStyle name="Comma [0]" xfId="22"/>
    <cellStyle name="常规 3 4 3" xfId="23"/>
    <cellStyle name="Comma" xfId="24"/>
    <cellStyle name="常规 7 3" xfId="25"/>
    <cellStyle name="40% - 强调文字颜色 3" xfId="26"/>
    <cellStyle name="差" xfId="27"/>
    <cellStyle name="60% - 强调文字颜色 3" xfId="28"/>
    <cellStyle name="好_经发处经费 4" xfId="29"/>
    <cellStyle name="Hyperlink" xfId="30"/>
    <cellStyle name="好_经发处经费_上报2014年预算调整附表（上报） 5" xfId="31"/>
    <cellStyle name="好_52保亭所_上报2014年预算调整附表（上报） 2 2" xfId="32"/>
    <cellStyle name="Input [yellow] 4" xfId="33"/>
    <cellStyle name="Percent" xfId="34"/>
    <cellStyle name="差_经发处经费_上报2014年预算调整附表（上报） 4" xfId="35"/>
    <cellStyle name="差_2013年农场计划表（发改用） 3 2" xfId="36"/>
    <cellStyle name="Followed Hyperlink" xfId="37"/>
    <cellStyle name="差_Book1 2" xfId="38"/>
    <cellStyle name="&#10;shell=progma 5" xfId="39"/>
    <cellStyle name="百分比 2" xfId="40"/>
    <cellStyle name="注释" xfId="41"/>
    <cellStyle name="常规 6" xfId="42"/>
    <cellStyle name="好_经发处经费 3 3" xfId="43"/>
    <cellStyle name="好_经发处经费 3" xfId="44"/>
    <cellStyle name="常规 12 2 2" xfId="45"/>
    <cellStyle name="60% - 强调文字颜色 2" xfId="46"/>
    <cellStyle name="标题 4" xfId="47"/>
    <cellStyle name="好_Book1 3" xfId="48"/>
    <cellStyle name="常规 6 5" xfId="49"/>
    <cellStyle name="常规 4 4 3" xfId="50"/>
    <cellStyle name="警告文本" xfId="51"/>
    <cellStyle name="常规 5 2" xfId="52"/>
    <cellStyle name="标题" xfId="53"/>
    <cellStyle name="解释性文本" xfId="54"/>
    <cellStyle name="百分比 4" xfId="55"/>
    <cellStyle name="标题 1" xfId="56"/>
    <cellStyle name="常规 5 2 2" xfId="57"/>
    <cellStyle name="百分比 5" xfId="58"/>
    <cellStyle name="标题 2" xfId="59"/>
    <cellStyle name="好_经发处经费 2" xfId="60"/>
    <cellStyle name="60% - 强调文字颜色 1" xfId="61"/>
    <cellStyle name="标题 3" xfId="62"/>
    <cellStyle name="好_经发处经费 5" xfId="63"/>
    <cellStyle name="60% - 强调文字颜色 4" xfId="64"/>
    <cellStyle name="输出" xfId="65"/>
    <cellStyle name="计算" xfId="66"/>
    <cellStyle name="检查单元格" xfId="67"/>
    <cellStyle name="常规 8 3" xfId="68"/>
    <cellStyle name="20% - 强调文字颜色 6" xfId="69"/>
    <cellStyle name="千位分隔 6 3" xfId="70"/>
    <cellStyle name="常规 2 2 2 5" xfId="71"/>
    <cellStyle name="差_2013年农场计划表（发改用）_上报2014年预算调整附表（上报） 5" xfId="72"/>
    <cellStyle name="强调文字颜色 2" xfId="73"/>
    <cellStyle name="链接单元格" xfId="74"/>
    <cellStyle name="好_上报2014年预算调整附表（上报） 2" xfId="75"/>
    <cellStyle name="汇总" xfId="76"/>
    <cellStyle name="好_2013年农场计划表（发改用）_上报2014年预算调整附表（上报） 2 2" xfId="77"/>
    <cellStyle name="好" xfId="78"/>
    <cellStyle name="常规 3 2 6" xfId="79"/>
    <cellStyle name="适中" xfId="80"/>
    <cellStyle name="常规 8 2" xfId="81"/>
    <cellStyle name="20% - 强调文字颜色 5" xfId="82"/>
    <cellStyle name="千位分隔 6 2" xfId="83"/>
    <cellStyle name="常规 2 2 2 4" xfId="84"/>
    <cellStyle name="差_2013年农场计划表（发改用）_上报2014年预算调整附表（上报） 4" xfId="85"/>
    <cellStyle name="强调文字颜色 1" xfId="86"/>
    <cellStyle name="20% - 强调文字颜色 1" xfId="87"/>
    <cellStyle name="40% - 强调文字颜色 1" xfId="88"/>
    <cellStyle name="20% - 强调文字颜色 2" xfId="89"/>
    <cellStyle name="40% - 强调文字颜色 2" xfId="90"/>
    <cellStyle name="千位分隔[0] 2" xfId="91"/>
    <cellStyle name="千位分隔 6 4" xfId="92"/>
    <cellStyle name="强调文字颜色 3" xfId="93"/>
    <cellStyle name="千位分隔[0] 3" xfId="94"/>
    <cellStyle name="千位分隔 6 5" xfId="95"/>
    <cellStyle name="强调文字颜色 4" xfId="96"/>
    <cellStyle name="20% - 强调文字颜色 4" xfId="97"/>
    <cellStyle name="40% - 强调文字颜色 4" xfId="98"/>
    <cellStyle name="强调文字颜色 5" xfId="99"/>
    <cellStyle name="40% - 强调文字颜色 5" xfId="100"/>
    <cellStyle name="60% - 强调文字颜色 5" xfId="101"/>
    <cellStyle name="好_52保亭所 4 2" xfId="102"/>
    <cellStyle name="强调文字颜色 6" xfId="103"/>
    <cellStyle name="40% - 强调文字颜色 6" xfId="104"/>
    <cellStyle name="0000/00 2 2" xfId="105"/>
    <cellStyle name="60% - 强调文字颜色 6" xfId="106"/>
    <cellStyle name="千位分隔 3 2" xfId="107"/>
    <cellStyle name="_ET_STYLE_NoName_00_" xfId="108"/>
    <cellStyle name="差_2013年开发区财政预算表(20130125定稿) 2 3" xfId="109"/>
    <cellStyle name="0000/00 4" xfId="110"/>
    <cellStyle name="常规 7 2 2" xfId="111"/>
    <cellStyle name="常规 2 4 5" xfId="112"/>
    <cellStyle name="0000/00" xfId="113"/>
    <cellStyle name="&#10;shell=progma 2 2" xfId="114"/>
    <cellStyle name="常规 2 2 5" xfId="115"/>
    <cellStyle name="&#10;shell=progma" xfId="116"/>
    <cellStyle name="常规 7 2 2 2" xfId="117"/>
    <cellStyle name="0000/00 2" xfId="118"/>
    <cellStyle name="Comma_laroux" xfId="119"/>
    <cellStyle name="&#10;shell=progma 2" xfId="120"/>
    <cellStyle name="&#10;shell=progma 3" xfId="121"/>
    <cellStyle name="&#10;shell=progma 4" xfId="122"/>
    <cellStyle name="0000/00 2 2 2" xfId="123"/>
    <cellStyle name="千位[0]_laroux" xfId="124"/>
    <cellStyle name="差_2013年开发区财政预算表(20130125定稿) 2 2" xfId="125"/>
    <cellStyle name="0000/00 3" xfId="126"/>
    <cellStyle name="常规 2 4 2" xfId="127"/>
    <cellStyle name="差_2013年开发区财政预算表(20130125定稿) 2 4" xfId="128"/>
    <cellStyle name="0000/00 5" xfId="129"/>
    <cellStyle name="差_2013年开发区财政预算表(20130125定稿) 2 2 2" xfId="130"/>
    <cellStyle name="0000/00 3 2" xfId="131"/>
    <cellStyle name="常规 2 4 3" xfId="132"/>
    <cellStyle name="0000/00 6" xfId="133"/>
    <cellStyle name="烹拳 [0]_97MBO" xfId="134"/>
    <cellStyle name="常规 3 3 3" xfId="135"/>
    <cellStyle name="ColLevel_0" xfId="136"/>
    <cellStyle name="常规 10 3 3" xfId="137"/>
    <cellStyle name="Comma [0]_laroux" xfId="138"/>
    <cellStyle name="差_Book1_上报2014年预算调整附表（上报） 4" xfId="139"/>
    <cellStyle name="Currency [0]_353HHC" xfId="140"/>
    <cellStyle name="差_Book1_上报2014年预算调整附表（上报） 2 2" xfId="141"/>
    <cellStyle name="差_52保亭所_上报2014年预算调整附表（上报） 3" xfId="142"/>
    <cellStyle name="Currency_353HHC" xfId="143"/>
    <cellStyle name="Grey" xfId="144"/>
    <cellStyle name="千位分隔 2 4" xfId="145"/>
    <cellStyle name="千位分隔 2 2 2" xfId="146"/>
    <cellStyle name="Input [yellow]" xfId="147"/>
    <cellStyle name="千位分隔 4 4" xfId="148"/>
    <cellStyle name="好_经发处经费_上报2014年预算调整附表（上报） 3" xfId="149"/>
    <cellStyle name="Input [yellow] 2" xfId="150"/>
    <cellStyle name="Input [yellow] 2 2" xfId="151"/>
    <cellStyle name="Input [yellow] 2 3" xfId="152"/>
    <cellStyle name="Input [yellow] 2 4" xfId="153"/>
    <cellStyle name="千位分隔 4 5" xfId="154"/>
    <cellStyle name="好_经发处经费_上报2014年预算调整附表（上报） 4" xfId="155"/>
    <cellStyle name="Input [yellow] 3" xfId="156"/>
    <cellStyle name="好_52保亭所 2 2" xfId="157"/>
    <cellStyle name="Input [yellow] 5" xfId="158"/>
    <cellStyle name="好_52保亭所 2 3" xfId="159"/>
    <cellStyle name="差_2013年计划表 2 2" xfId="160"/>
    <cellStyle name="Input [yellow] 6" xfId="161"/>
    <cellStyle name="常规 3 2 2 5" xfId="162"/>
    <cellStyle name="差_2013年开发区财政预算表(20130125定稿)_上报2014年预算调整附表（上报） 3" xfId="163"/>
    <cellStyle name="Normal - Style1" xfId="164"/>
    <cellStyle name="Normal_0105第二套审计报表定稿" xfId="165"/>
    <cellStyle name="Percent [2]" xfId="166"/>
    <cellStyle name="差_2013年农场计划表（发改用） 2 2" xfId="167"/>
    <cellStyle name="RowLevel_0" xfId="168"/>
    <cellStyle name="百分比 2 2" xfId="169"/>
    <cellStyle name="百分比 2 2 2" xfId="170"/>
    <cellStyle name="差_52保亭所_上报2014年预算调整附表（上报）" xfId="171"/>
    <cellStyle name="百分比 2 3" xfId="172"/>
    <cellStyle name="百分比 2 4" xfId="173"/>
    <cellStyle name="百分比 2 5" xfId="174"/>
    <cellStyle name="百分比 3" xfId="175"/>
    <cellStyle name="百分比 3 2" xfId="176"/>
    <cellStyle name="好_52保亭所_上报2014年预算调整附表（上报） 3" xfId="177"/>
    <cellStyle name="百分比 3 2 2" xfId="178"/>
    <cellStyle name="百分比 3 3" xfId="179"/>
    <cellStyle name="百分比 3 4" xfId="180"/>
    <cellStyle name="常规 2 2 6" xfId="181"/>
    <cellStyle name="百分比 4 2" xfId="182"/>
    <cellStyle name="差_Book1 3" xfId="183"/>
    <cellStyle name="百分比 4 2 2" xfId="184"/>
    <cellStyle name="百分比 4 3" xfId="185"/>
    <cellStyle name="常规 4 6" xfId="186"/>
    <cellStyle name="常规 4 2 4" xfId="187"/>
    <cellStyle name="差_2013年计划表" xfId="188"/>
    <cellStyle name="常规 8 4" xfId="189"/>
    <cellStyle name="差_2013年计划表 2" xfId="190"/>
    <cellStyle name="都寞_桸啎1-2" xfId="191"/>
    <cellStyle name="差_2013年计划表 2 2 2" xfId="192"/>
    <cellStyle name="好_52保亭所 2 4" xfId="193"/>
    <cellStyle name="差_52保亭所 3 2" xfId="194"/>
    <cellStyle name="差_2013年计划表 2 3" xfId="195"/>
    <cellStyle name="差_52保亭所 3 3" xfId="196"/>
    <cellStyle name="差_2013年计划表 2 4" xfId="197"/>
    <cellStyle name="常规 8 5" xfId="198"/>
    <cellStyle name="差_2013年计划表 3" xfId="199"/>
    <cellStyle name="好_52保亭所 3 3" xfId="200"/>
    <cellStyle name="差_2013年计划表 3 2" xfId="201"/>
    <cellStyle name="差_52保亭所 4 2" xfId="202"/>
    <cellStyle name="差_2013年计划表 3 3" xfId="203"/>
    <cellStyle name="差_2013年计划表 4" xfId="204"/>
    <cellStyle name="差_2013年计划表 4 2" xfId="205"/>
    <cellStyle name="差_2013年计划表 5" xfId="206"/>
    <cellStyle name="差_2013年计划表_上报2014年预算调整附表（上报）" xfId="207"/>
    <cellStyle name="好_2013年开发区财政预算表(20130125定稿)_上报2014年预算调整附表（上报） 3" xfId="208"/>
    <cellStyle name="差_2013年计划表_上报2014年预算调整附表（上报） 2" xfId="209"/>
    <cellStyle name="常规 2 3" xfId="210"/>
    <cellStyle name="差_2013年计划表_上报2014年预算调整附表（上报） 2 2" xfId="211"/>
    <cellStyle name="好_2013年开发区财政预算表(20130125定稿)_上报2014年预算调整附表（上报） 4" xfId="212"/>
    <cellStyle name="差_2013年计划表_上报2014年预算调整附表（上报） 3" xfId="213"/>
    <cellStyle name="好_2013年开发区财政预算表(20130125定稿)_上报2014年预算调整附表（上报） 5" xfId="214"/>
    <cellStyle name="差_2013年计划表_上报2014年预算调整附表（上报） 4" xfId="215"/>
    <cellStyle name="差_2013年计划表_上报2014年预算调整附表（上报） 5" xfId="216"/>
    <cellStyle name="差_2013年开发区财政预算表(20130125定稿)" xfId="217"/>
    <cellStyle name="差_2013年开发区财政预算表(20130125定稿) 2" xfId="218"/>
    <cellStyle name="差_经发处经费 2 2" xfId="219"/>
    <cellStyle name="差_2013年开发区财政预算表(20130125定稿) 3" xfId="220"/>
    <cellStyle name="差_经发处经费 2 2 2" xfId="221"/>
    <cellStyle name="差_2013年开发区财政预算表(20130125定稿) 3 2" xfId="222"/>
    <cellStyle name="差_2013年开发区财政预算表(20130125定稿) 3 3" xfId="223"/>
    <cellStyle name="差_经发处经费 2 3" xfId="224"/>
    <cellStyle name="差_2013年开发区财政预算表(20130125定稿) 4" xfId="225"/>
    <cellStyle name="差_2013年开发区财政预算表(20130125定稿) 4 2" xfId="226"/>
    <cellStyle name="样式 1" xfId="227"/>
    <cellStyle name="差_经发处经费 2 4" xfId="228"/>
    <cellStyle name="差_2013年开发区财政预算表(20130125定稿) 5" xfId="229"/>
    <cellStyle name="差_2013年开发区财政预算表(20130125定稿)_上报2014年预算调整附表（上报）" xfId="230"/>
    <cellStyle name="常规 3 2 2 4" xfId="231"/>
    <cellStyle name="差_2013年开发区财政预算表(20130125定稿)_上报2014年预算调整附表（上报） 2" xfId="232"/>
    <cellStyle name="差_2013年开发区财政预算表(20130125定稿)_上报2014年预算调整附表（上报） 2 2" xfId="233"/>
    <cellStyle name="好_Book1 3 2" xfId="234"/>
    <cellStyle name="差_2013年开发区财政预算表(20130125定稿)_上报2014年预算调整附表（上报） 4" xfId="235"/>
    <cellStyle name="好_Book1 3 3" xfId="236"/>
    <cellStyle name="差_2013年开发区财政预算表(20130125定稿)_上报2014年预算调整附表（上报） 5" xfId="237"/>
    <cellStyle name="好_2013年开发区财政预算表(20130125定稿) 2 2 2" xfId="238"/>
    <cellStyle name="差_2013年农场计划表（发改用）" xfId="239"/>
    <cellStyle name="差_2013年农场计划表（发改用） 2" xfId="240"/>
    <cellStyle name="好_2013年开发区财政预算表(20130125定稿) 4" xfId="241"/>
    <cellStyle name="差_2013年农场计划表（发改用） 2 2 2" xfId="242"/>
    <cellStyle name="千位分隔 6 2 2" xfId="243"/>
    <cellStyle name="差_2013年农场计划表（发改用） 2 3" xfId="244"/>
    <cellStyle name="差_2013年农场计划表（发改用） 2 4" xfId="245"/>
    <cellStyle name="差_2013年农场计划表（发改用） 3" xfId="246"/>
    <cellStyle name="差_经发处经费_上报2014年预算调整附表（上报） 5" xfId="247"/>
    <cellStyle name="差_2013年农场计划表（发改用） 3 3" xfId="248"/>
    <cellStyle name="好_2013年农场计划表（发改用） 3 2" xfId="249"/>
    <cellStyle name="好_2013年开发区财政预算表(20130125定稿) 2" xfId="250"/>
    <cellStyle name="差_2013年农场计划表（发改用） 4" xfId="251"/>
    <cellStyle name="好_2013年开发区财政预算表(20130125定稿) 2 2" xfId="252"/>
    <cellStyle name="差_2013年农场计划表（发改用） 4 2" xfId="253"/>
    <cellStyle name="好_2013年农场计划表（发改用） 3 3" xfId="254"/>
    <cellStyle name="好_2013年开发区财政预算表(20130125定稿) 3" xfId="255"/>
    <cellStyle name="差_2013年农场计划表（发改用） 5" xfId="256"/>
    <cellStyle name="常规 2 2 2" xfId="257"/>
    <cellStyle name="差_2013年农场计划表（发改用）_上报2014年预算调整附表（上报）" xfId="258"/>
    <cellStyle name="常规 2 2 2 2" xfId="259"/>
    <cellStyle name="差_2013年农场计划表（发改用）_上报2014年预算调整附表（上报） 2" xfId="260"/>
    <cellStyle name="常规 2 4 4" xfId="261"/>
    <cellStyle name="常规 2 2 2 2 2" xfId="262"/>
    <cellStyle name="差_2013年农场计划表（发改用）_上报2014年预算调整附表（上报） 2 2" xfId="263"/>
    <cellStyle name="常规 2 2 2 3" xfId="264"/>
    <cellStyle name="差_2013年农场计划表（发改用）_上报2014年预算调整附表（上报） 3" xfId="265"/>
    <cellStyle name="差_52保亭所" xfId="266"/>
    <cellStyle name="差_52保亭所 2" xfId="267"/>
    <cellStyle name="差_52保亭所 2 2" xfId="268"/>
    <cellStyle name="好_52保亭所_上报2014年预算调整附表（上报）" xfId="269"/>
    <cellStyle name="差_52保亭所 2 2 2" xfId="270"/>
    <cellStyle name="差_52保亭所 2 3" xfId="271"/>
    <cellStyle name="差_52保亭所 2 4" xfId="272"/>
    <cellStyle name="差_52保亭所 3" xfId="273"/>
    <cellStyle name="千位_laroux" xfId="274"/>
    <cellStyle name="差_52保亭所 4" xfId="275"/>
    <cellStyle name="差_52保亭所 5" xfId="276"/>
    <cellStyle name="差_52保亭所_上报2014年预算调整附表（上报） 2" xfId="277"/>
    <cellStyle name="差_52保亭所_上报2014年预算调整附表（上报） 2 2" xfId="278"/>
    <cellStyle name="差_52保亭所_上报2014年预算调整附表（上报） 4" xfId="279"/>
    <cellStyle name="千位分隔 2 2" xfId="280"/>
    <cellStyle name="差_52保亭所_上报2014年预算调整附表（上报） 5" xfId="281"/>
    <cellStyle name="差_Book1" xfId="282"/>
    <cellStyle name="好_上报2014年预算调整附表（上报） 5" xfId="283"/>
    <cellStyle name="差_Book1 2 2" xfId="284"/>
    <cellStyle name="差_Book1 2 2 2" xfId="285"/>
    <cellStyle name="差_Book1 2 3" xfId="286"/>
    <cellStyle name="差_Book1 2 4" xfId="287"/>
    <cellStyle name="好_Book1 2 4" xfId="288"/>
    <cellStyle name="差_Book1 3 2" xfId="289"/>
    <cellStyle name="好_Book1_上报2014年预算调整附表（上报）" xfId="290"/>
    <cellStyle name="差_Book1 3 3" xfId="291"/>
    <cellStyle name="差_Book1 4" xfId="292"/>
    <cellStyle name="표준_0N-HANDLING " xfId="293"/>
    <cellStyle name="差_Book1 4 2" xfId="294"/>
    <cellStyle name="差_Book1 5" xfId="295"/>
    <cellStyle name="差_Book1_上报2014年预算调整附表（上报）" xfId="296"/>
    <cellStyle name="差_Book1_上报2014年预算调整附表（上报） 2" xfId="297"/>
    <cellStyle name="差_Book1_上报2014年预算调整附表（上报） 3" xfId="298"/>
    <cellStyle name="差_Book1_上报2014年预算调整附表（上报） 5" xfId="299"/>
    <cellStyle name="差_经发处经费" xfId="300"/>
    <cellStyle name="差_经发处经费 2" xfId="301"/>
    <cellStyle name="差_经发处经费 3" xfId="302"/>
    <cellStyle name="好_经发处经费 2 4" xfId="303"/>
    <cellStyle name="差_经发处经费 3 2" xfId="304"/>
    <cellStyle name="好_经发处经费_上报2014年预算调整附表（上报）" xfId="305"/>
    <cellStyle name="差_经发处经费 3 3" xfId="306"/>
    <cellStyle name="千分位_ 白土" xfId="307"/>
    <cellStyle name="差_经发处经费 4" xfId="308"/>
    <cellStyle name="常规 7" xfId="309"/>
    <cellStyle name="差_经发处经费 4 2" xfId="310"/>
    <cellStyle name="差_经发处经费 5" xfId="311"/>
    <cellStyle name="常规 3 3 2" xfId="312"/>
    <cellStyle name="差_经发处经费_上报2014年预算调整附表（上报）" xfId="313"/>
    <cellStyle name="常规 3 3 2 2" xfId="314"/>
    <cellStyle name="差_经发处经费_上报2014年预算调整附表（上报） 2" xfId="315"/>
    <cellStyle name="好_52保亭所 3" xfId="316"/>
    <cellStyle name="差_经发处经费_上报2014年预算调整附表（上报） 2 2" xfId="317"/>
    <cellStyle name="差_经发处经费_上报2014年预算调整附表（上报） 3" xfId="318"/>
    <cellStyle name="差_上报2014年预算调整附表（上报）" xfId="319"/>
    <cellStyle name="差_上报2014年预算调整附表（上报） 2" xfId="320"/>
    <cellStyle name="常规 7 2 4" xfId="321"/>
    <cellStyle name="差_上报2014年预算调整附表（上报） 2 2" xfId="322"/>
    <cellStyle name="好_上报2014年预算调整附表（上报） 2 2" xfId="323"/>
    <cellStyle name="差_上报2014年预算调整附表（上报） 3" xfId="324"/>
    <cellStyle name="差_上报2014年预算调整附表（上报） 4" xfId="325"/>
    <cellStyle name="差_上报2014年预算调整附表（上报） 5" xfId="326"/>
    <cellStyle name="常规 10" xfId="327"/>
    <cellStyle name="常规 10 2" xfId="328"/>
    <cellStyle name="常规 10 3" xfId="329"/>
    <cellStyle name="常规 3 7" xfId="330"/>
    <cellStyle name="常规 10 3 2" xfId="331"/>
    <cellStyle name="常规 11" xfId="332"/>
    <cellStyle name="常规 11 2" xfId="333"/>
    <cellStyle name="常规 11 2 2" xfId="334"/>
    <cellStyle name="常规 11 2 2 2" xfId="335"/>
    <cellStyle name="常规 11 2 3" xfId="336"/>
    <cellStyle name="常规 11 3" xfId="337"/>
    <cellStyle name="常规 11 3 2" xfId="338"/>
    <cellStyle name="常规 11 3 3" xfId="339"/>
    <cellStyle name="常规 11 4" xfId="340"/>
    <cellStyle name="常规 11 5" xfId="341"/>
    <cellStyle name="常规 12" xfId="342"/>
    <cellStyle name="常规 12 2" xfId="343"/>
    <cellStyle name="常规 12 3" xfId="344"/>
    <cellStyle name="常规 13" xfId="345"/>
    <cellStyle name="好_2013年农场计划表（发改用）_上报2014年预算调整附表（上报） 5" xfId="346"/>
    <cellStyle name="常规 13 2" xfId="347"/>
    <cellStyle name="常规 13 2 2" xfId="348"/>
    <cellStyle name="常规 13 2 3" xfId="349"/>
    <cellStyle name="常规 13 3" xfId="350"/>
    <cellStyle name="常规 13 4" xfId="351"/>
    <cellStyle name="常规 14" xfId="352"/>
    <cellStyle name="常规 14 2" xfId="353"/>
    <cellStyle name="常规 15" xfId="354"/>
    <cellStyle name="千位分隔 5 2 2" xfId="355"/>
    <cellStyle name="常规 16" xfId="356"/>
    <cellStyle name="常规 3 3 4" xfId="357"/>
    <cellStyle name="常规 2" xfId="358"/>
    <cellStyle name="常规 2 2" xfId="359"/>
    <cellStyle name="好_52保亭所 2 2 2" xfId="360"/>
    <cellStyle name="常规 2 2 3" xfId="361"/>
    <cellStyle name="常规 2 2 3 2" xfId="362"/>
    <cellStyle name="货币 2" xfId="363"/>
    <cellStyle name="常规 2 2 4 2" xfId="364"/>
    <cellStyle name="钎霖_laroux" xfId="365"/>
    <cellStyle name="好_2013年开发区财政预算表(20130125定稿) 3 2" xfId="366"/>
    <cellStyle name="常规 2 4" xfId="367"/>
    <cellStyle name="常规 2 4 2 2" xfId="368"/>
    <cellStyle name="千位分隔[0] 3 2" xfId="369"/>
    <cellStyle name="好_2013年开发区财政预算表(20130125定稿) 3 3" xfId="370"/>
    <cellStyle name="常规 2 5" xfId="371"/>
    <cellStyle name="千位分隔[0] 3 3" xfId="372"/>
    <cellStyle name="常规 2 6" xfId="373"/>
    <cellStyle name="常规 3" xfId="374"/>
    <cellStyle name="常规 3 2" xfId="375"/>
    <cellStyle name="常规 3 2 2" xfId="376"/>
    <cellStyle name="常规 3 2 2 2" xfId="377"/>
    <cellStyle name="好_2013年农场计划表（发改用） 5" xfId="378"/>
    <cellStyle name="常规 3 2 2 2 2" xfId="379"/>
    <cellStyle name="常规 3 2 2 3" xfId="380"/>
    <cellStyle name="常规 3 2 3" xfId="381"/>
    <cellStyle name="常规 3 2 3 2" xfId="382"/>
    <cellStyle name="常规 3 2 3 2 2" xfId="383"/>
    <cellStyle name="常规 3 2 3 3" xfId="384"/>
    <cellStyle name="好_2013年农场计划表（发改用） 2 2 2" xfId="385"/>
    <cellStyle name="常规 3 2 3 4" xfId="386"/>
    <cellStyle name="常规 3 2 3 5" xfId="387"/>
    <cellStyle name="货币 2 2 2" xfId="388"/>
    <cellStyle name="好_Book1 4 2" xfId="389"/>
    <cellStyle name="常规 3 2 3 6" xfId="390"/>
    <cellStyle name="常规 3 2 4" xfId="391"/>
    <cellStyle name="常规 3 2 4 2" xfId="392"/>
    <cellStyle name="常规 3 2 5" xfId="393"/>
    <cellStyle name="콤마 [0]_BOILER-CO1" xfId="394"/>
    <cellStyle name="好_经发处经费 2 2" xfId="395"/>
    <cellStyle name="常规 3 2 7" xfId="396"/>
    <cellStyle name="常规 3 3" xfId="397"/>
    <cellStyle name="好_2013年开发区财政预算表(20130125定稿) 4 2" xfId="398"/>
    <cellStyle name="常规 3 4" xfId="399"/>
    <cellStyle name="千位分隔 2 5" xfId="400"/>
    <cellStyle name="常规 3 4 2" xfId="401"/>
    <cellStyle name="常规 3 5" xfId="402"/>
    <cellStyle name="千位分隔 3 5" xfId="403"/>
    <cellStyle name="常规 3 5 2" xfId="404"/>
    <cellStyle name="常规 3 6" xfId="405"/>
    <cellStyle name="常规 4" xfId="406"/>
    <cellStyle name="好_2013年开发区财政预算表(20130125定稿) 5" xfId="407"/>
    <cellStyle name="常规 4 2" xfId="408"/>
    <cellStyle name="好_Book1" xfId="409"/>
    <cellStyle name="常规 4 4" xfId="410"/>
    <cellStyle name="常规 4 2 2" xfId="411"/>
    <cellStyle name="好_Book1 2" xfId="412"/>
    <cellStyle name="常规 6 4" xfId="413"/>
    <cellStyle name="常规 4 4 2" xfId="414"/>
    <cellStyle name="常规 4 2 2 2" xfId="415"/>
    <cellStyle name="常规 4 5" xfId="416"/>
    <cellStyle name="常规 4 2 3" xfId="417"/>
    <cellStyle name="常规 4 7" xfId="418"/>
    <cellStyle name="常规 4 2 5" xfId="419"/>
    <cellStyle name="常规 4 3" xfId="420"/>
    <cellStyle name="好_经发处经费 3 2" xfId="421"/>
    <cellStyle name="常规 5" xfId="422"/>
    <cellStyle name="常规 5 3" xfId="423"/>
    <cellStyle name="常规 5 4" xfId="424"/>
    <cellStyle name="常规 5 5" xfId="425"/>
    <cellStyle name="常规 6 2" xfId="426"/>
    <cellStyle name="常规 6 2 2" xfId="427"/>
    <cellStyle name="千位分隔 3 2 2" xfId="428"/>
    <cellStyle name="常规 6 3" xfId="429"/>
    <cellStyle name="常规 7 2" xfId="430"/>
    <cellStyle name="常规 7 2 3" xfId="431"/>
    <cellStyle name="常规 7 2 5" xfId="432"/>
    <cellStyle name="千位分隔 2" xfId="433"/>
    <cellStyle name="常规 7 3 2" xfId="434"/>
    <cellStyle name="常规 7 4" xfId="435"/>
    <cellStyle name="常规 7 5" xfId="436"/>
    <cellStyle name="常规 7 6" xfId="437"/>
    <cellStyle name="常规 8" xfId="438"/>
    <cellStyle name="콤마_BOILER-CO1" xfId="439"/>
    <cellStyle name="常规 8 2 2" xfId="440"/>
    <cellStyle name="常规 9" xfId="441"/>
    <cellStyle name="常规 9 2" xfId="442"/>
    <cellStyle name="货币 2 3" xfId="443"/>
    <cellStyle name="好_Book1 5" xfId="444"/>
    <cellStyle name="常规 9 2 2" xfId="445"/>
    <cellStyle name="常规 9 3" xfId="446"/>
    <cellStyle name="常规 9 4" xfId="447"/>
    <cellStyle name="常规 9 5" xfId="448"/>
    <cellStyle name="超级链接_农场合同查阅目录" xfId="449"/>
    <cellStyle name="好_2013年农场计划表（发改用） 3" xfId="450"/>
    <cellStyle name="好_2013年开发区财政预算表(20130125定稿)" xfId="451"/>
    <cellStyle name="千位分隔[0] 2 2" xfId="452"/>
    <cellStyle name="好_2013年开发区财政预算表(20130125定稿) 2 3" xfId="453"/>
    <cellStyle name="千位分隔[0] 2 3" xfId="454"/>
    <cellStyle name="好_2013年开发区财政预算表(20130125定稿) 2 4" xfId="455"/>
    <cellStyle name="好_2013年开发区财政预算表(20130125定稿)_上报2014年预算调整附表（上报） 2" xfId="456"/>
    <cellStyle name="好_2013年开发区财政预算表(20130125定稿)_上报2014年预算调整附表（上报） 2 2" xfId="457"/>
    <cellStyle name="好_2013年农场计划表（发改用）" xfId="458"/>
    <cellStyle name="好_2013年农场计划表（发改用） 2" xfId="459"/>
    <cellStyle name="好_2013年农场计划表（发改用） 2 2" xfId="460"/>
    <cellStyle name="好_2013年农场计划表（发改用） 2 3" xfId="461"/>
    <cellStyle name="好_2013年农场计划表（发改用） 2 4" xfId="462"/>
    <cellStyle name="好_2013年农场计划表（发改用） 4" xfId="463"/>
    <cellStyle name="好_52保亭所_上报2014年预算调整附表（上报） 4" xfId="464"/>
    <cellStyle name="好_2013年农场计划表（发改用） 4 2" xfId="465"/>
    <cellStyle name="好_2013年农场计划表（发改用）_上报2014年预算调整附表（上报）" xfId="466"/>
    <cellStyle name="好_2013年农场计划表（发改用）_上报2014年预算调整附表（上报） 2" xfId="467"/>
    <cellStyle name="好_2013年农场计划表（发改用）_上报2014年预算调整附表（上报） 3" xfId="468"/>
    <cellStyle name="통화 [0]_BOILER-CO1" xfId="469"/>
    <cellStyle name="好_2013年农场计划表（发改用）_上报2014年预算调整附表（上报） 4" xfId="470"/>
    <cellStyle name="好_Book1_上报2014年预算调整附表（上报） 2" xfId="471"/>
    <cellStyle name="好_52保亭所" xfId="472"/>
    <cellStyle name="好_Book1_上报2014年预算调整附表（上报） 2 2" xfId="473"/>
    <cellStyle name="好_52保亭所 2" xfId="474"/>
    <cellStyle name="好_52保亭所 3 2" xfId="475"/>
    <cellStyle name="好_52保亭所 4" xfId="476"/>
    <cellStyle name="好_52保亭所 5" xfId="477"/>
    <cellStyle name="好_52保亭所_上报2014年预算调整附表（上报） 2" xfId="478"/>
    <cellStyle name="好_52保亭所_上报2014年预算调整附表（上报） 5" xfId="479"/>
    <cellStyle name="好_Book1 2 2" xfId="480"/>
    <cellStyle name="好_Book1 2 2 2" xfId="481"/>
    <cellStyle name="好_Book1 2 3" xfId="482"/>
    <cellStyle name="货币 2 2" xfId="483"/>
    <cellStyle name="好_Book1 4" xfId="484"/>
    <cellStyle name="好_Book1_上报2014年预算调整附表（上报） 3" xfId="485"/>
    <cellStyle name="好_Book1_上报2014年预算调整附表（上报） 4" xfId="486"/>
    <cellStyle name="好_Book1_上报2014年预算调整附表（上报） 5" xfId="487"/>
    <cellStyle name="好_经发处经费" xfId="488"/>
    <cellStyle name="好_经发处经费 2 2 2" xfId="489"/>
    <cellStyle name="好_经发处经费 2 3" xfId="490"/>
    <cellStyle name="好_经发处经费 4 2" xfId="491"/>
    <cellStyle name="千位分隔 4 3" xfId="492"/>
    <cellStyle name="好_经发处经费_上报2014年预算调整附表（上报） 2" xfId="493"/>
    <cellStyle name="好_经发处经费_上报2014年预算调整附表（上报） 2 2" xfId="494"/>
    <cellStyle name="好_上报2014年预算调整附表（上报）" xfId="495"/>
    <cellStyle name="好_上报2014年预算调整附表（上报） 3" xfId="496"/>
    <cellStyle name="好_上报2014年预算调整附表（上报） 4" xfId="497"/>
    <cellStyle name="货币 2 2 3" xfId="498"/>
    <cellStyle name="货币 2 4" xfId="499"/>
    <cellStyle name="货币 2 5" xfId="500"/>
    <cellStyle name="千位分隔 3 3" xfId="501"/>
    <cellStyle name="霓付 [0]_97MBO" xfId="502"/>
    <cellStyle name="千位分隔[0] 2 2 2" xfId="503"/>
    <cellStyle name="霓付_97MBO" xfId="504"/>
    <cellStyle name="烹拳_97MBO" xfId="505"/>
    <cellStyle name="普通_ 白土" xfId="506"/>
    <cellStyle name="千分位[0]_ 白土" xfId="507"/>
    <cellStyle name="千位分隔 2 3" xfId="508"/>
    <cellStyle name="千位分隔 3" xfId="509"/>
    <cellStyle name="千位分隔 3 4" xfId="510"/>
    <cellStyle name="千位分隔 4" xfId="511"/>
    <cellStyle name="千位分隔 4 2" xfId="512"/>
    <cellStyle name="千位分隔 4 2 2" xfId="513"/>
    <cellStyle name="千位分隔 5" xfId="514"/>
    <cellStyle name="千位分隔 5 2" xfId="515"/>
    <cellStyle name="千位分隔 5 3" xfId="516"/>
    <cellStyle name="千位分隔 5 4" xfId="517"/>
    <cellStyle name="千位分隔 5 5" xfId="518"/>
    <cellStyle name="千位分隔 6" xfId="519"/>
    <cellStyle name="千位分隔[0] 2 4" xfId="520"/>
    <cellStyle name="千位分隔[0] 2 5" xfId="521"/>
    <cellStyle name="통화_BOILER-CO1" xfId="522"/>
    <cellStyle name="常规_Book1" xfId="5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externalLink" Target="externalLinks/externalLink1.xml" /><Relationship Id="rId47" Type="http://schemas.openxmlformats.org/officeDocument/2006/relationships/externalLink" Target="externalLinks/externalLink2.xml" /><Relationship Id="rId48" Type="http://schemas.openxmlformats.org/officeDocument/2006/relationships/externalLink" Target="externalLinks/externalLink3.xml" /><Relationship Id="rId49" Type="http://schemas.openxmlformats.org/officeDocument/2006/relationships/externalLink" Target="externalLinks/externalLink4.xml" /><Relationship Id="rId50" Type="http://schemas.openxmlformats.org/officeDocument/2006/relationships/externalLink" Target="externalLinks/externalLink5.xml" /><Relationship Id="rId5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1\2021\&#20840;&#38754;&#39044;&#31639;&#31649;&#29702;\&#19977;&#27743;&#21457;&#25511;\2021&#24180;&#31649;&#29702;&#36153;&#29992;&#39044;&#31639;(&#26412;&#3709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2&#24180;&#31649;&#29702;&#36153;&#29992;&#39044;&#31639;(&#21508;&#37096;&#23460;11.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23&#24180;&#21457;&#25511;&#20844;&#21496;&#20840;&#38754;&#39044;&#31639;&#34920;&#65288;12.1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23&#24180;&#29289;&#19994;&#20844;&#21496;&#20840;&#38754;&#39044;&#31639;&#34920;&#65288;12.13&#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023&#24180;&#20892;&#19994;&#20844;&#21496;&#20840;&#38754;&#39044;&#31639;&#34920;&#65288;12.1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汇总 (2020)"/>
      <sheetName val="汇总（2021）"/>
      <sheetName val="场领导"/>
      <sheetName val="党综办"/>
      <sheetName val="监察室"/>
      <sheetName val="人力部"/>
      <sheetName val="财务部"/>
      <sheetName val="资产部"/>
      <sheetName val="投发部"/>
      <sheetName val="工程部"/>
      <sheetName val="公共部门"/>
      <sheetName val="方案1.1"/>
      <sheetName val="执行数"/>
      <sheetName val="5)固定资产及无形资产预算表"/>
      <sheetName val="经营预算"/>
      <sheetName val="3固定资产投资"/>
      <sheetName val="离岗"/>
      <sheetName val="主要指标预报表"/>
      <sheetName val="主要指标预报表 (农场)"/>
      <sheetName val="Sheet1 (2)"/>
      <sheetName val="工会"/>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22年人工成本"/>
      <sheetName val="汇总（2022）"/>
      <sheetName val="领导"/>
      <sheetName val="党委办"/>
      <sheetName val="董办"/>
      <sheetName val="纪检室"/>
      <sheetName val="投发部"/>
      <sheetName val="资产部"/>
      <sheetName val="财务部"/>
      <sheetName val="审计部"/>
      <sheetName val="人力部"/>
      <sheetName val="公共部门"/>
      <sheetName val="5)固定资产及无形资产预算表"/>
      <sheetName val="经营预算"/>
      <sheetName val="3固定资产投资"/>
      <sheetName val="离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人工成本"/>
      <sheetName val="2)人力资源成本预算表"/>
      <sheetName val="3)人员情况表"/>
      <sheetName val="4)自建地产及经营性投资项目预算表"/>
      <sheetName val="5)自建代建项目开发成本预算表（年）"/>
      <sheetName val="6)固定资产及无形资产预算表"/>
      <sheetName val="7)筹资预算表"/>
      <sheetName val="8)权益性投资预算表"/>
      <sheetName val="9)资产处置预算表"/>
      <sheetName val="10)并购项目预算明细表"/>
      <sheetName val="11)合作项目预算表"/>
      <sheetName val="12)公务用车预算明细表"/>
      <sheetName val="13)主营业务收支预算表"/>
      <sheetName val="14)其他业务收支预算表"/>
      <sheetName val="15)营业外收支预算表"/>
      <sheetName val="16)税金预算表"/>
      <sheetName val="16)销售（经营）费用预算表"/>
      <sheetName val="17)管理费用预算表"/>
      <sheetName val="18)财务费用预算表"/>
      <sheetName val="19)资产负债预算表（一）"/>
      <sheetName val="20)资产负债预算表（二）"/>
      <sheetName val="21)利润预算表"/>
      <sheetName val="22)利润分配预算表"/>
      <sheetName val="23)资金预算表总表"/>
      <sheetName val="24)经营活动现金流量预算"/>
      <sheetName val="25投资活动现金流量预算"/>
      <sheetName val="26)筹资活动现金流量预算"/>
    </sheetNames>
    <sheetDataSet>
      <sheetData sheetId="1">
        <row r="9">
          <cell r="L9">
            <v>992400</v>
          </cell>
        </row>
        <row r="17">
          <cell r="C17">
            <v>486398.9595</v>
          </cell>
          <cell r="D17">
            <v>339395.23</v>
          </cell>
          <cell r="L17">
            <v>122850</v>
          </cell>
          <cell r="N17">
            <v>3036</v>
          </cell>
          <cell r="O17">
            <v>73157.17499999999</v>
          </cell>
          <cell r="P17">
            <v>169778.69999999998</v>
          </cell>
          <cell r="S17">
            <v>51096.42000000001</v>
          </cell>
          <cell r="T17">
            <v>23463</v>
          </cell>
          <cell r="U17">
            <v>7376.4375</v>
          </cell>
          <cell r="V17">
            <v>5532.328125</v>
          </cell>
          <cell r="W17">
            <v>24510</v>
          </cell>
        </row>
        <row r="18">
          <cell r="C18">
            <v>568135.69</v>
          </cell>
          <cell r="D18">
            <v>540572.26</v>
          </cell>
          <cell r="L18">
            <v>248100</v>
          </cell>
          <cell r="N18">
            <v>37332</v>
          </cell>
          <cell r="O18">
            <v>71700</v>
          </cell>
          <cell r="P18">
            <v>147250</v>
          </cell>
          <cell r="Q18">
            <v>3904</v>
          </cell>
          <cell r="S18">
            <v>87909.23999999999</v>
          </cell>
          <cell r="T18">
            <v>41652</v>
          </cell>
          <cell r="U18">
            <v>10333.720000000001</v>
          </cell>
          <cell r="V18">
            <v>7750.29</v>
          </cell>
        </row>
        <row r="19">
          <cell r="C19">
            <v>939864.5225</v>
          </cell>
          <cell r="D19">
            <v>951310.52</v>
          </cell>
          <cell r="L19">
            <v>355800</v>
          </cell>
          <cell r="N19">
            <v>54303</v>
          </cell>
          <cell r="O19">
            <v>125400</v>
          </cell>
          <cell r="P19">
            <v>206250</v>
          </cell>
          <cell r="Q19">
            <v>9202</v>
          </cell>
          <cell r="R19">
            <v>9900</v>
          </cell>
          <cell r="S19">
            <v>137774.37000000002</v>
          </cell>
          <cell r="T19">
            <v>63105</v>
          </cell>
          <cell r="U19">
            <v>15376.099999999999</v>
          </cell>
          <cell r="V19">
            <v>11532.074999999995</v>
          </cell>
        </row>
        <row r="20">
          <cell r="C20">
            <v>0</v>
          </cell>
          <cell r="S20">
            <v>0</v>
          </cell>
          <cell r="T20">
            <v>0</v>
          </cell>
          <cell r="U20">
            <v>0</v>
          </cell>
          <cell r="V20">
            <v>0</v>
          </cell>
        </row>
        <row r="21">
          <cell r="C21">
            <v>0</v>
          </cell>
          <cell r="S21">
            <v>0</v>
          </cell>
          <cell r="T21">
            <v>0</v>
          </cell>
          <cell r="U21">
            <v>0</v>
          </cell>
          <cell r="V21">
            <v>0</v>
          </cell>
        </row>
        <row r="22">
          <cell r="C22">
            <v>88210.82</v>
          </cell>
          <cell r="O22">
            <v>16000</v>
          </cell>
          <cell r="P22">
            <v>213866.02</v>
          </cell>
          <cell r="T22">
            <v>0</v>
          </cell>
          <cell r="U22">
            <v>4597.3204000000005</v>
          </cell>
          <cell r="V22">
            <v>3447.9903</v>
          </cell>
        </row>
        <row r="23">
          <cell r="C23">
            <v>0</v>
          </cell>
          <cell r="S23">
            <v>0</v>
          </cell>
          <cell r="T23">
            <v>0</v>
          </cell>
          <cell r="U23">
            <v>0</v>
          </cell>
          <cell r="V23">
            <v>0</v>
          </cell>
        </row>
        <row r="26">
          <cell r="C26">
            <v>486398.9595</v>
          </cell>
          <cell r="D26">
            <v>339523.75</v>
          </cell>
          <cell r="L26">
            <v>122850</v>
          </cell>
          <cell r="N26">
            <v>3036</v>
          </cell>
          <cell r="O26">
            <v>73157.17499999999</v>
          </cell>
          <cell r="P26">
            <v>169778.69999999998</v>
          </cell>
          <cell r="S26">
            <v>51096.42000000001</v>
          </cell>
          <cell r="T26">
            <v>23463</v>
          </cell>
          <cell r="U26">
            <v>7376.4375</v>
          </cell>
          <cell r="V26">
            <v>5532.328125</v>
          </cell>
          <cell r="W26">
            <v>24510</v>
          </cell>
        </row>
        <row r="27">
          <cell r="C27">
            <v>688682.225</v>
          </cell>
          <cell r="D27">
            <v>592289.54</v>
          </cell>
          <cell r="L27">
            <v>248100</v>
          </cell>
          <cell r="N27">
            <v>51732</v>
          </cell>
          <cell r="O27">
            <v>71700</v>
          </cell>
          <cell r="P27">
            <v>147250</v>
          </cell>
          <cell r="Q27">
            <v>3416</v>
          </cell>
          <cell r="S27">
            <v>87909.23999999999</v>
          </cell>
          <cell r="T27">
            <v>41652</v>
          </cell>
          <cell r="U27">
            <v>10323.960000000001</v>
          </cell>
          <cell r="V27">
            <v>7742.969999999999</v>
          </cell>
        </row>
        <row r="28">
          <cell r="C28">
            <v>1078402.0174999998</v>
          </cell>
          <cell r="D28">
            <v>973279.7</v>
          </cell>
          <cell r="L28">
            <v>355800</v>
          </cell>
          <cell r="N28">
            <v>84903</v>
          </cell>
          <cell r="O28">
            <v>125400</v>
          </cell>
          <cell r="P28">
            <v>206250</v>
          </cell>
          <cell r="Q28">
            <v>8630</v>
          </cell>
          <cell r="R28">
            <v>36700</v>
          </cell>
          <cell r="S28">
            <v>137774.37000000002</v>
          </cell>
          <cell r="T28">
            <v>63105</v>
          </cell>
          <cell r="U28">
            <v>15364.659999999998</v>
          </cell>
          <cell r="V28">
            <v>11523.494999999995</v>
          </cell>
        </row>
        <row r="29">
          <cell r="C29">
            <v>0</v>
          </cell>
          <cell r="S29">
            <v>0</v>
          </cell>
          <cell r="T29">
            <v>0</v>
          </cell>
          <cell r="U29">
            <v>0</v>
          </cell>
          <cell r="V29">
            <v>0</v>
          </cell>
        </row>
        <row r="30">
          <cell r="C30">
            <v>0</v>
          </cell>
          <cell r="S30">
            <v>0</v>
          </cell>
          <cell r="T30">
            <v>0</v>
          </cell>
          <cell r="U30">
            <v>0</v>
          </cell>
          <cell r="V30">
            <v>0</v>
          </cell>
        </row>
        <row r="31">
          <cell r="C31">
            <v>88210.82</v>
          </cell>
          <cell r="P31">
            <v>213866.02</v>
          </cell>
          <cell r="T31">
            <v>0</v>
          </cell>
          <cell r="U31">
            <v>0</v>
          </cell>
          <cell r="V31">
            <v>0</v>
          </cell>
        </row>
        <row r="32">
          <cell r="C32">
            <v>0</v>
          </cell>
          <cell r="S32">
            <v>0</v>
          </cell>
          <cell r="T32">
            <v>0</v>
          </cell>
          <cell r="U32">
            <v>0</v>
          </cell>
          <cell r="V32">
            <v>0</v>
          </cell>
        </row>
        <row r="35">
          <cell r="C35">
            <v>487898.9595</v>
          </cell>
          <cell r="D35">
            <v>340586.31</v>
          </cell>
          <cell r="L35">
            <v>122850</v>
          </cell>
          <cell r="N35">
            <v>3036</v>
          </cell>
          <cell r="O35">
            <v>73157.17499999999</v>
          </cell>
          <cell r="P35">
            <v>169778.69999999998</v>
          </cell>
          <cell r="R35">
            <v>2400</v>
          </cell>
          <cell r="S35">
            <v>51096.42000000001</v>
          </cell>
          <cell r="T35">
            <v>23463</v>
          </cell>
          <cell r="U35">
            <v>7376.4375</v>
          </cell>
          <cell r="V35">
            <v>5532.328125</v>
          </cell>
          <cell r="W35">
            <v>24510</v>
          </cell>
        </row>
        <row r="36">
          <cell r="C36">
            <v>688042.225</v>
          </cell>
          <cell r="D36">
            <v>645784.75</v>
          </cell>
          <cell r="L36">
            <v>248100</v>
          </cell>
          <cell r="N36">
            <v>51732</v>
          </cell>
          <cell r="O36">
            <v>71700</v>
          </cell>
          <cell r="P36">
            <v>147250</v>
          </cell>
          <cell r="Q36">
            <v>3416</v>
          </cell>
          <cell r="S36">
            <v>87909.23999999999</v>
          </cell>
          <cell r="T36">
            <v>41652</v>
          </cell>
          <cell r="U36">
            <v>10323.960000000001</v>
          </cell>
          <cell r="V36">
            <v>7742.969999999999</v>
          </cell>
        </row>
        <row r="37">
          <cell r="C37">
            <v>1045942.0175</v>
          </cell>
          <cell r="D37">
            <v>983740.67</v>
          </cell>
          <cell r="L37">
            <v>355800</v>
          </cell>
          <cell r="N37">
            <v>84903</v>
          </cell>
          <cell r="O37">
            <v>125400</v>
          </cell>
          <cell r="P37">
            <v>206250</v>
          </cell>
          <cell r="Q37">
            <v>7830</v>
          </cell>
          <cell r="R37">
            <v>38400</v>
          </cell>
          <cell r="S37">
            <v>137774.37000000002</v>
          </cell>
          <cell r="T37">
            <v>63105</v>
          </cell>
          <cell r="U37">
            <v>15348.659999999998</v>
          </cell>
          <cell r="V37">
            <v>11511.494999999995</v>
          </cell>
        </row>
        <row r="38">
          <cell r="C38">
            <v>0</v>
          </cell>
          <cell r="S38">
            <v>0</v>
          </cell>
          <cell r="T38">
            <v>0</v>
          </cell>
          <cell r="U38">
            <v>0</v>
          </cell>
          <cell r="V38">
            <v>0</v>
          </cell>
        </row>
        <row r="39">
          <cell r="C39">
            <v>0</v>
          </cell>
          <cell r="S39">
            <v>0</v>
          </cell>
          <cell r="T39">
            <v>0</v>
          </cell>
          <cell r="U39">
            <v>0</v>
          </cell>
          <cell r="V39">
            <v>0</v>
          </cell>
        </row>
        <row r="40">
          <cell r="C40">
            <v>88210.82</v>
          </cell>
          <cell r="D40">
            <v>0</v>
          </cell>
          <cell r="P40">
            <v>213866.02</v>
          </cell>
          <cell r="T40">
            <v>0</v>
          </cell>
          <cell r="U40">
            <v>0</v>
          </cell>
          <cell r="V40">
            <v>0</v>
          </cell>
        </row>
        <row r="41">
          <cell r="C41">
            <v>0</v>
          </cell>
          <cell r="S41">
            <v>0</v>
          </cell>
          <cell r="T41">
            <v>0</v>
          </cell>
          <cell r="U41">
            <v>0</v>
          </cell>
          <cell r="V41">
            <v>0</v>
          </cell>
        </row>
        <row r="44">
          <cell r="C44">
            <v>486398.9595</v>
          </cell>
          <cell r="E44">
            <v>314522.52</v>
          </cell>
          <cell r="L44">
            <v>122850</v>
          </cell>
          <cell r="N44">
            <v>3036</v>
          </cell>
          <cell r="O44">
            <v>73157.17499999999</v>
          </cell>
          <cell r="P44">
            <v>169778.69999999998</v>
          </cell>
          <cell r="S44">
            <v>51096.42000000001</v>
          </cell>
          <cell r="T44">
            <v>23463</v>
          </cell>
          <cell r="U44">
            <v>7376.4375</v>
          </cell>
          <cell r="V44">
            <v>5532.328125</v>
          </cell>
          <cell r="W44">
            <v>24510</v>
          </cell>
        </row>
        <row r="45">
          <cell r="C45">
            <v>678002.225</v>
          </cell>
          <cell r="E45">
            <v>781926.41</v>
          </cell>
          <cell r="L45">
            <v>248100</v>
          </cell>
          <cell r="N45">
            <v>42132</v>
          </cell>
          <cell r="O45">
            <v>71700</v>
          </cell>
          <cell r="P45">
            <v>147250</v>
          </cell>
          <cell r="Q45">
            <v>3904</v>
          </cell>
          <cell r="S45">
            <v>87909.23999999999</v>
          </cell>
          <cell r="T45">
            <v>41652</v>
          </cell>
          <cell r="U45">
            <v>10333.720000000001</v>
          </cell>
          <cell r="V45">
            <v>7750.29</v>
          </cell>
        </row>
        <row r="46">
          <cell r="C46">
            <v>1017431.5575</v>
          </cell>
          <cell r="E46">
            <v>965601.97</v>
          </cell>
          <cell r="L46">
            <v>355800</v>
          </cell>
          <cell r="N46">
            <v>64503</v>
          </cell>
          <cell r="O46">
            <v>125400</v>
          </cell>
          <cell r="P46">
            <v>206250</v>
          </cell>
          <cell r="Q46">
            <v>8722</v>
          </cell>
          <cell r="R46">
            <v>8400</v>
          </cell>
          <cell r="S46">
            <v>137774.37000000002</v>
          </cell>
          <cell r="T46">
            <v>63105</v>
          </cell>
          <cell r="U46">
            <v>15366.499999999998</v>
          </cell>
          <cell r="V46">
            <v>11524.874999999995</v>
          </cell>
        </row>
        <row r="47">
          <cell r="C47">
            <v>0</v>
          </cell>
          <cell r="S47">
            <v>0</v>
          </cell>
          <cell r="T47">
            <v>0</v>
          </cell>
          <cell r="U47">
            <v>0</v>
          </cell>
          <cell r="V47">
            <v>0</v>
          </cell>
        </row>
        <row r="48">
          <cell r="C48">
            <v>0</v>
          </cell>
          <cell r="S48">
            <v>0</v>
          </cell>
          <cell r="T48">
            <v>0</v>
          </cell>
          <cell r="U48">
            <v>0</v>
          </cell>
          <cell r="V48">
            <v>0</v>
          </cell>
        </row>
        <row r="49">
          <cell r="C49">
            <v>88210.82</v>
          </cell>
          <cell r="P49">
            <v>213866.02</v>
          </cell>
          <cell r="T49">
            <v>0</v>
          </cell>
          <cell r="U49">
            <v>0</v>
          </cell>
          <cell r="V49">
            <v>0</v>
          </cell>
        </row>
        <row r="50">
          <cell r="C50">
            <v>0</v>
          </cell>
          <cell r="S50">
            <v>0</v>
          </cell>
          <cell r="T50">
            <v>0</v>
          </cell>
          <cell r="U50">
            <v>0</v>
          </cell>
          <cell r="V50">
            <v>0</v>
          </cell>
        </row>
      </sheetData>
      <sheetData sheetId="2">
        <row r="8">
          <cell r="B8">
            <v>3</v>
          </cell>
          <cell r="C8">
            <v>3</v>
          </cell>
          <cell r="D8">
            <v>3</v>
          </cell>
          <cell r="E8">
            <v>3</v>
          </cell>
          <cell r="F8">
            <v>3</v>
          </cell>
          <cell r="G8">
            <v>3</v>
          </cell>
          <cell r="H8">
            <v>3</v>
          </cell>
          <cell r="I8">
            <v>3</v>
          </cell>
        </row>
        <row r="9">
          <cell r="B9">
            <v>16</v>
          </cell>
          <cell r="C9">
            <v>16</v>
          </cell>
          <cell r="D9">
            <v>16</v>
          </cell>
          <cell r="E9">
            <v>16</v>
          </cell>
          <cell r="F9">
            <v>18</v>
          </cell>
          <cell r="G9">
            <v>18</v>
          </cell>
          <cell r="H9">
            <v>18</v>
          </cell>
          <cell r="I9">
            <v>18</v>
          </cell>
        </row>
        <row r="10">
          <cell r="B10">
            <v>35</v>
          </cell>
          <cell r="C10">
            <v>35</v>
          </cell>
          <cell r="D10">
            <v>35</v>
          </cell>
          <cell r="E10">
            <v>35</v>
          </cell>
          <cell r="F10">
            <v>32</v>
          </cell>
          <cell r="G10">
            <v>32</v>
          </cell>
          <cell r="H10">
            <v>32</v>
          </cell>
          <cell r="I10">
            <v>32</v>
          </cell>
        </row>
      </sheetData>
      <sheetData sheetId="3">
        <row r="5">
          <cell r="F5">
            <v>0</v>
          </cell>
        </row>
      </sheetData>
      <sheetData sheetId="5">
        <row r="7">
          <cell r="B7">
            <v>64200</v>
          </cell>
          <cell r="C7">
            <v>64867</v>
          </cell>
          <cell r="H7">
            <v>82000</v>
          </cell>
          <cell r="I7">
            <v>58000</v>
          </cell>
          <cell r="K7">
            <v>5500</v>
          </cell>
        </row>
        <row r="9">
          <cell r="B9">
            <v>10000</v>
          </cell>
          <cell r="H9">
            <v>11000</v>
          </cell>
        </row>
        <row r="18">
          <cell r="B18">
            <v>35000</v>
          </cell>
          <cell r="H18">
            <v>150000</v>
          </cell>
        </row>
        <row r="19">
          <cell r="B19">
            <v>250000</v>
          </cell>
          <cell r="C19">
            <v>158121.87</v>
          </cell>
        </row>
        <row r="21">
          <cell r="H21">
            <v>2800</v>
          </cell>
          <cell r="I21">
            <v>1800</v>
          </cell>
          <cell r="K21">
            <v>1500</v>
          </cell>
        </row>
        <row r="22">
          <cell r="H22">
            <v>4800</v>
          </cell>
          <cell r="I22">
            <v>5900</v>
          </cell>
          <cell r="J22">
            <v>500</v>
          </cell>
        </row>
        <row r="25">
          <cell r="A25" t="str">
            <v>      凭证文件柜</v>
          </cell>
          <cell r="H25">
            <v>6000</v>
          </cell>
          <cell r="I25">
            <v>9000</v>
          </cell>
          <cell r="J25">
            <v>9000</v>
          </cell>
          <cell r="K25">
            <v>7500</v>
          </cell>
        </row>
      </sheetData>
      <sheetData sheetId="7">
        <row r="6">
          <cell r="B6" t="str">
            <v>海口三江农场物业服务有限公司</v>
          </cell>
          <cell r="C6" t="str">
            <v>货币投入</v>
          </cell>
          <cell r="D6" t="str">
            <v>全资</v>
          </cell>
          <cell r="E6">
            <v>2000000</v>
          </cell>
          <cell r="F6">
            <v>2000000</v>
          </cell>
        </row>
        <row r="7">
          <cell r="B7" t="str">
            <v>海口福满三江农业开发有限公司</v>
          </cell>
          <cell r="C7" t="str">
            <v>货币投入</v>
          </cell>
          <cell r="D7" t="str">
            <v>全资</v>
          </cell>
          <cell r="E7">
            <v>10000000</v>
          </cell>
        </row>
      </sheetData>
      <sheetData sheetId="8">
        <row r="7">
          <cell r="J7">
            <v>500</v>
          </cell>
        </row>
      </sheetData>
      <sheetData sheetId="11">
        <row r="22">
          <cell r="B22" t="str">
            <v>大众途威</v>
          </cell>
          <cell r="C22" t="str">
            <v>WVGEH35N</v>
          </cell>
          <cell r="D22">
            <v>2</v>
          </cell>
          <cell r="E22">
            <v>42391</v>
          </cell>
          <cell r="F22">
            <v>1</v>
          </cell>
          <cell r="G22">
            <v>335000</v>
          </cell>
        </row>
        <row r="23">
          <cell r="B23" t="str">
            <v>别克牌</v>
          </cell>
          <cell r="C23" t="str">
            <v>SGM6475DAX3</v>
          </cell>
          <cell r="D23">
            <v>2</v>
          </cell>
          <cell r="E23">
            <v>42710</v>
          </cell>
          <cell r="F23">
            <v>1</v>
          </cell>
          <cell r="G23">
            <v>258900</v>
          </cell>
        </row>
        <row r="24">
          <cell r="B24" t="str">
            <v>大众牌</v>
          </cell>
          <cell r="C24" t="str">
            <v>FV7166BABBG</v>
          </cell>
          <cell r="D24">
            <v>1.6</v>
          </cell>
          <cell r="E24">
            <v>42712</v>
          </cell>
          <cell r="F24">
            <v>1</v>
          </cell>
          <cell r="G24">
            <v>137800</v>
          </cell>
        </row>
        <row r="25">
          <cell r="B25" t="str">
            <v>丰田牌</v>
          </cell>
          <cell r="C25" t="str">
            <v>GTM6480ASL</v>
          </cell>
          <cell r="D25">
            <v>2.7</v>
          </cell>
          <cell r="E25">
            <v>40894</v>
          </cell>
          <cell r="F25">
            <v>1</v>
          </cell>
          <cell r="G25">
            <v>385200</v>
          </cell>
        </row>
        <row r="26">
          <cell r="B26" t="str">
            <v>别克牌</v>
          </cell>
          <cell r="C26" t="str">
            <v>SGM7243ATA</v>
          </cell>
          <cell r="D26">
            <v>2.4</v>
          </cell>
          <cell r="E26">
            <v>40980</v>
          </cell>
          <cell r="F26">
            <v>1</v>
          </cell>
          <cell r="G26">
            <v>251200</v>
          </cell>
        </row>
      </sheetData>
      <sheetData sheetId="12">
        <row r="22">
          <cell r="B22">
            <v>11280000</v>
          </cell>
          <cell r="C22">
            <v>8490566.07</v>
          </cell>
          <cell r="D22">
            <v>2830188.69</v>
          </cell>
          <cell r="H22">
            <v>2830188.679245283</v>
          </cell>
          <cell r="I22">
            <v>2830188.679245283</v>
          </cell>
          <cell r="J22">
            <v>2830188.679245283</v>
          </cell>
          <cell r="K22">
            <v>2830188.679245283</v>
          </cell>
        </row>
        <row r="26">
          <cell r="B26">
            <v>0</v>
          </cell>
        </row>
        <row r="27">
          <cell r="B27">
            <v>0</v>
          </cell>
        </row>
        <row r="29">
          <cell r="B29">
            <v>0</v>
          </cell>
        </row>
        <row r="30">
          <cell r="B30">
            <v>0</v>
          </cell>
        </row>
        <row r="31">
          <cell r="B31">
            <v>0</v>
          </cell>
        </row>
        <row r="32">
          <cell r="B32">
            <v>0</v>
          </cell>
        </row>
        <row r="34">
          <cell r="B34">
            <v>0</v>
          </cell>
        </row>
        <row r="35">
          <cell r="B35">
            <v>0</v>
          </cell>
        </row>
        <row r="36">
          <cell r="B36">
            <v>0</v>
          </cell>
        </row>
        <row r="37">
          <cell r="B37">
            <v>0</v>
          </cell>
        </row>
        <row r="38">
          <cell r="B38">
            <v>0</v>
          </cell>
        </row>
        <row r="39">
          <cell r="B39">
            <v>0</v>
          </cell>
        </row>
      </sheetData>
      <sheetData sheetId="13">
        <row r="7">
          <cell r="B7">
            <v>362354</v>
          </cell>
          <cell r="C7">
            <v>317297.24</v>
          </cell>
          <cell r="I7">
            <v>330529.3577981651</v>
          </cell>
          <cell r="J7">
            <v>224955.3700000001</v>
          </cell>
          <cell r="K7">
            <v>206008.16</v>
          </cell>
        </row>
        <row r="8">
          <cell r="C8">
            <v>0</v>
          </cell>
          <cell r="D8">
            <v>0</v>
          </cell>
          <cell r="J8">
            <v>480000</v>
          </cell>
          <cell r="K8">
            <v>3060000</v>
          </cell>
        </row>
        <row r="9">
          <cell r="B9">
            <v>562658.54</v>
          </cell>
          <cell r="C9">
            <v>184465.69</v>
          </cell>
          <cell r="D9">
            <v>0</v>
          </cell>
          <cell r="K9">
            <v>0</v>
          </cell>
        </row>
        <row r="11">
          <cell r="D11">
            <v>1200000</v>
          </cell>
        </row>
        <row r="12">
          <cell r="C12">
            <v>8978.3</v>
          </cell>
          <cell r="D12">
            <v>0</v>
          </cell>
          <cell r="H12">
            <v>319335.2</v>
          </cell>
          <cell r="I12">
            <v>165435.2</v>
          </cell>
          <cell r="J12">
            <v>167935.2</v>
          </cell>
          <cell r="K12">
            <v>173185.2</v>
          </cell>
        </row>
      </sheetData>
      <sheetData sheetId="14">
        <row r="7">
          <cell r="H7">
            <v>0</v>
          </cell>
          <cell r="I7">
            <v>500</v>
          </cell>
          <cell r="J7">
            <v>0</v>
          </cell>
          <cell r="K7">
            <v>0</v>
          </cell>
        </row>
        <row r="15">
          <cell r="C15">
            <v>70674.54</v>
          </cell>
        </row>
        <row r="29">
          <cell r="B29">
            <v>120000</v>
          </cell>
          <cell r="C29">
            <v>57961.72</v>
          </cell>
          <cell r="D29">
            <v>60000</v>
          </cell>
          <cell r="H29">
            <v>2000</v>
          </cell>
          <cell r="I29">
            <v>2000</v>
          </cell>
          <cell r="J29">
            <v>2000</v>
          </cell>
          <cell r="K29">
            <v>7600</v>
          </cell>
        </row>
      </sheetData>
      <sheetData sheetId="15">
        <row r="6">
          <cell r="B6">
            <v>139362.39</v>
          </cell>
          <cell r="C6">
            <v>307811.31</v>
          </cell>
        </row>
        <row r="7">
          <cell r="B7">
            <v>613367.08</v>
          </cell>
          <cell r="C7">
            <v>169811.31</v>
          </cell>
          <cell r="F7">
            <v>169811.32075471696</v>
          </cell>
          <cell r="G7">
            <v>199558.9629565518</v>
          </cell>
          <cell r="H7">
            <v>190057.30405471698</v>
          </cell>
          <cell r="I7">
            <v>188352.05515471695</v>
          </cell>
        </row>
        <row r="8">
          <cell r="B8">
            <v>444918.16</v>
          </cell>
          <cell r="C8">
            <v>169811.31</v>
          </cell>
          <cell r="F8">
            <v>307811.30999999994</v>
          </cell>
          <cell r="G8">
            <v>169811.320754717</v>
          </cell>
          <cell r="H8">
            <v>199558.9629565518</v>
          </cell>
          <cell r="I8">
            <v>190057.30405471695</v>
          </cell>
        </row>
        <row r="11">
          <cell r="C11">
            <v>0</v>
          </cell>
        </row>
        <row r="16">
          <cell r="C16">
            <v>0</v>
          </cell>
        </row>
        <row r="21">
          <cell r="B21">
            <v>95.37</v>
          </cell>
          <cell r="C21">
            <v>9353.61</v>
          </cell>
        </row>
        <row r="22">
          <cell r="B22">
            <v>37314.78</v>
          </cell>
          <cell r="C22">
            <v>11886.791700000002</v>
          </cell>
          <cell r="F22">
            <v>11886.792452830188</v>
          </cell>
          <cell r="G22">
            <v>13969.127406958629</v>
          </cell>
          <cell r="H22">
            <v>13304.01128383019</v>
          </cell>
          <cell r="I22">
            <v>13184.643860830187</v>
          </cell>
        </row>
        <row r="23">
          <cell r="B23">
            <v>28056.54</v>
          </cell>
          <cell r="C23">
            <v>11886.791700000002</v>
          </cell>
          <cell r="F23">
            <v>9353.61</v>
          </cell>
          <cell r="G23">
            <v>11886.792452830188</v>
          </cell>
          <cell r="H23">
            <v>13969.127406958629</v>
          </cell>
          <cell r="I23">
            <v>13304.01128383019</v>
          </cell>
        </row>
        <row r="26">
          <cell r="B26">
            <v>68.12</v>
          </cell>
          <cell r="C26">
            <v>6681.149999999998</v>
          </cell>
        </row>
        <row r="27">
          <cell r="B27">
            <v>26368.48</v>
          </cell>
          <cell r="C27">
            <v>8490.5655</v>
          </cell>
          <cell r="F27">
            <v>8490.566037735849</v>
          </cell>
          <cell r="G27">
            <v>9977.948147827592</v>
          </cell>
          <cell r="H27">
            <v>9502.86520273585</v>
          </cell>
          <cell r="I27">
            <v>9417.602757735847</v>
          </cell>
        </row>
        <row r="28">
          <cell r="B28">
            <v>19755.45</v>
          </cell>
          <cell r="C28">
            <v>8490.5655</v>
          </cell>
          <cell r="F28">
            <v>6681.1500000000015</v>
          </cell>
          <cell r="G28">
            <v>8490.566037735849</v>
          </cell>
          <cell r="H28">
            <v>9977.948147827594</v>
          </cell>
          <cell r="I28">
            <v>9502.86520273585</v>
          </cell>
        </row>
        <row r="31">
          <cell r="B31">
            <v>3908.5</v>
          </cell>
          <cell r="C31">
            <v>3908.5</v>
          </cell>
        </row>
        <row r="32">
          <cell r="B32">
            <v>11725.5</v>
          </cell>
          <cell r="C32">
            <v>3908.5</v>
          </cell>
          <cell r="F32">
            <v>3908.5</v>
          </cell>
          <cell r="G32">
            <v>3908.5</v>
          </cell>
          <cell r="H32">
            <v>3908.5</v>
          </cell>
          <cell r="I32">
            <v>3908.5</v>
          </cell>
        </row>
        <row r="33">
          <cell r="B33">
            <v>11725.5</v>
          </cell>
          <cell r="C33">
            <v>3908.5</v>
          </cell>
          <cell r="F33">
            <v>3908.5</v>
          </cell>
          <cell r="G33">
            <v>3908.5</v>
          </cell>
          <cell r="H33">
            <v>3908.5</v>
          </cell>
          <cell r="I33">
            <v>3908.5</v>
          </cell>
        </row>
        <row r="36">
          <cell r="C36">
            <v>0</v>
          </cell>
        </row>
        <row r="41">
          <cell r="B41">
            <v>33855.26</v>
          </cell>
          <cell r="C41">
            <v>33855.26000000001</v>
          </cell>
        </row>
        <row r="42">
          <cell r="B42">
            <v>101565.78</v>
          </cell>
          <cell r="C42">
            <v>33855.26</v>
          </cell>
          <cell r="F42">
            <v>33855.26</v>
          </cell>
          <cell r="G42">
            <v>33855.26</v>
          </cell>
          <cell r="H42">
            <v>33855.26</v>
          </cell>
          <cell r="I42">
            <v>33855.26</v>
          </cell>
        </row>
        <row r="43">
          <cell r="B43">
            <v>101565.78</v>
          </cell>
          <cell r="C43">
            <v>33855.26</v>
          </cell>
          <cell r="F43">
            <v>33855.26000000001</v>
          </cell>
          <cell r="G43">
            <v>33855.26000000001</v>
          </cell>
          <cell r="H43">
            <v>33855.26000000001</v>
          </cell>
          <cell r="I43">
            <v>33855.26000000001</v>
          </cell>
        </row>
        <row r="46">
          <cell r="C46">
            <v>0</v>
          </cell>
        </row>
        <row r="51">
          <cell r="B51">
            <v>342809.9</v>
          </cell>
          <cell r="C51">
            <v>5612.369999999879</v>
          </cell>
        </row>
        <row r="52">
          <cell r="B52">
            <v>714658.59</v>
          </cell>
          <cell r="C52">
            <v>0</v>
          </cell>
          <cell r="F52">
            <v>0</v>
          </cell>
          <cell r="G52">
            <v>0</v>
          </cell>
          <cell r="H52">
            <v>0</v>
          </cell>
          <cell r="I52">
            <v>486752.0196643218</v>
          </cell>
        </row>
        <row r="53">
          <cell r="B53">
            <v>1051856.12</v>
          </cell>
          <cell r="C53">
            <v>0</v>
          </cell>
          <cell r="F53">
            <v>5612.369999999879</v>
          </cell>
          <cell r="G53">
            <v>0</v>
          </cell>
          <cell r="H53">
            <v>0</v>
          </cell>
          <cell r="I53">
            <v>0</v>
          </cell>
        </row>
        <row r="56">
          <cell r="C56">
            <v>0</v>
          </cell>
        </row>
        <row r="61">
          <cell r="C61">
            <v>0</v>
          </cell>
        </row>
        <row r="62">
          <cell r="B62">
            <v>256116.30000000005</v>
          </cell>
        </row>
        <row r="63">
          <cell r="B63">
            <v>256116.30000000005</v>
          </cell>
          <cell r="F63">
            <v>0</v>
          </cell>
          <cell r="G63">
            <v>0</v>
          </cell>
          <cell r="H63">
            <v>0</v>
          </cell>
          <cell r="I63">
            <v>0</v>
          </cell>
        </row>
      </sheetData>
      <sheetData sheetId="16">
        <row r="13">
          <cell r="B13">
            <v>0</v>
          </cell>
          <cell r="C13">
            <v>0</v>
          </cell>
        </row>
      </sheetData>
      <sheetData sheetId="17">
        <row r="8">
          <cell r="B8">
            <v>3017976</v>
          </cell>
          <cell r="C8">
            <v>2032054.81</v>
          </cell>
          <cell r="D8">
            <v>709695</v>
          </cell>
          <cell r="H8">
            <v>726750</v>
          </cell>
          <cell r="I8">
            <v>726750</v>
          </cell>
          <cell r="J8">
            <v>726750</v>
          </cell>
          <cell r="K8">
            <v>726750</v>
          </cell>
        </row>
        <row r="10">
          <cell r="B10">
            <v>0</v>
          </cell>
          <cell r="H10">
            <v>0</v>
          </cell>
          <cell r="I10">
            <v>0</v>
          </cell>
          <cell r="J10">
            <v>0</v>
          </cell>
          <cell r="K10">
            <v>0</v>
          </cell>
        </row>
        <row r="11">
          <cell r="B11">
            <v>999663.81</v>
          </cell>
          <cell r="C11">
            <v>547052.03</v>
          </cell>
          <cell r="D11">
            <v>225747.97000000003</v>
          </cell>
          <cell r="H11">
            <v>270257.175</v>
          </cell>
          <cell r="I11">
            <v>270257.175</v>
          </cell>
          <cell r="J11">
            <v>270257.175</v>
          </cell>
          <cell r="K11">
            <v>270257.175</v>
          </cell>
        </row>
        <row r="12">
          <cell r="B12">
            <v>2074518.99</v>
          </cell>
          <cell r="C12">
            <v>1434732.08</v>
          </cell>
          <cell r="D12">
            <v>509952.92</v>
          </cell>
          <cell r="H12">
            <v>737144.72</v>
          </cell>
          <cell r="I12">
            <v>737144.72</v>
          </cell>
          <cell r="J12">
            <v>737144.72</v>
          </cell>
          <cell r="K12">
            <v>737144.72</v>
          </cell>
        </row>
        <row r="13">
          <cell r="B13">
            <v>0</v>
          </cell>
          <cell r="H13">
            <v>16000</v>
          </cell>
        </row>
        <row r="14">
          <cell r="B14">
            <v>525396</v>
          </cell>
          <cell r="C14">
            <v>364336</v>
          </cell>
          <cell r="D14">
            <v>138828</v>
          </cell>
          <cell r="H14">
            <v>94671</v>
          </cell>
          <cell r="I14">
            <v>139671</v>
          </cell>
          <cell r="J14">
            <v>139671</v>
          </cell>
          <cell r="K14">
            <v>109671</v>
          </cell>
        </row>
        <row r="15">
          <cell r="B15">
            <v>33620</v>
          </cell>
          <cell r="C15">
            <v>15100</v>
          </cell>
          <cell r="D15">
            <v>2960</v>
          </cell>
          <cell r="H15">
            <v>13106</v>
          </cell>
          <cell r="I15">
            <v>12046</v>
          </cell>
          <cell r="J15">
            <v>11246</v>
          </cell>
          <cell r="K15">
            <v>12626</v>
          </cell>
        </row>
        <row r="16">
          <cell r="B16">
            <v>363864</v>
          </cell>
          <cell r="C16">
            <v>47896</v>
          </cell>
          <cell r="D16">
            <v>3168</v>
          </cell>
          <cell r="H16">
            <v>9900</v>
          </cell>
          <cell r="I16">
            <v>36700</v>
          </cell>
          <cell r="J16">
            <v>40800</v>
          </cell>
          <cell r="K16">
            <v>8400</v>
          </cell>
        </row>
        <row r="17">
          <cell r="B17">
            <v>1103750.16</v>
          </cell>
          <cell r="C17">
            <v>751550.71</v>
          </cell>
          <cell r="D17">
            <v>264831.87999999995</v>
          </cell>
          <cell r="H17">
            <v>276780.03</v>
          </cell>
          <cell r="I17">
            <v>276780.03</v>
          </cell>
          <cell r="J17">
            <v>276780.03</v>
          </cell>
          <cell r="K17">
            <v>276780.03</v>
          </cell>
        </row>
        <row r="18">
          <cell r="B18">
            <v>521328</v>
          </cell>
          <cell r="C18">
            <v>358608</v>
          </cell>
          <cell r="D18">
            <v>128355</v>
          </cell>
          <cell r="H18">
            <v>128220</v>
          </cell>
          <cell r="I18">
            <v>128220</v>
          </cell>
          <cell r="J18">
            <v>128220</v>
          </cell>
          <cell r="K18">
            <v>128220</v>
          </cell>
        </row>
        <row r="20">
          <cell r="B20">
            <v>132000</v>
          </cell>
          <cell r="C20">
            <v>63000</v>
          </cell>
          <cell r="D20">
            <v>21000</v>
          </cell>
          <cell r="H20">
            <v>21000</v>
          </cell>
          <cell r="I20">
            <v>21000</v>
          </cell>
          <cell r="J20">
            <v>21000</v>
          </cell>
          <cell r="K20">
            <v>21000</v>
          </cell>
        </row>
        <row r="21">
          <cell r="B21">
            <v>0</v>
          </cell>
          <cell r="C21">
            <v>4319.6</v>
          </cell>
          <cell r="D21">
            <v>3510</v>
          </cell>
          <cell r="H21">
            <v>3510</v>
          </cell>
          <cell r="I21">
            <v>3510</v>
          </cell>
          <cell r="J21">
            <v>3510</v>
          </cell>
          <cell r="K21">
            <v>3510</v>
          </cell>
        </row>
        <row r="22">
          <cell r="B22">
            <v>99567.702</v>
          </cell>
          <cell r="C22">
            <v>0</v>
          </cell>
          <cell r="D22">
            <v>22043.24</v>
          </cell>
          <cell r="H22">
            <v>28262.683425</v>
          </cell>
          <cell r="I22">
            <v>24798.793124999997</v>
          </cell>
          <cell r="J22">
            <v>24786.793124999997</v>
          </cell>
          <cell r="K22">
            <v>24807.493124999994</v>
          </cell>
        </row>
        <row r="23">
          <cell r="B23">
            <v>132756.936</v>
          </cell>
          <cell r="C23">
            <v>87833.5</v>
          </cell>
          <cell r="D23">
            <v>31958.9</v>
          </cell>
          <cell r="H23">
            <v>37683.577900000004</v>
          </cell>
          <cell r="I23">
            <v>33065.057499999995</v>
          </cell>
          <cell r="J23">
            <v>33049.057499999995</v>
          </cell>
          <cell r="K23">
            <v>33076.6575</v>
          </cell>
        </row>
        <row r="25">
          <cell r="B25">
            <v>61100</v>
          </cell>
          <cell r="C25">
            <v>78698.8</v>
          </cell>
          <cell r="D25">
            <v>11300</v>
          </cell>
          <cell r="H25">
            <v>31882</v>
          </cell>
          <cell r="I25">
            <v>34782</v>
          </cell>
          <cell r="J25">
            <v>28782</v>
          </cell>
          <cell r="K25">
            <v>31282</v>
          </cell>
        </row>
        <row r="26">
          <cell r="B26">
            <v>33264</v>
          </cell>
          <cell r="C26">
            <v>18364.73</v>
          </cell>
          <cell r="D26">
            <v>5532</v>
          </cell>
          <cell r="H26">
            <v>10954</v>
          </cell>
          <cell r="I26">
            <v>11794</v>
          </cell>
          <cell r="J26">
            <v>11794</v>
          </cell>
          <cell r="K26">
            <v>10954</v>
          </cell>
        </row>
        <row r="27">
          <cell r="B27">
            <v>0</v>
          </cell>
          <cell r="C27">
            <v>0</v>
          </cell>
          <cell r="H27">
            <v>750</v>
          </cell>
          <cell r="I27">
            <v>750</v>
          </cell>
          <cell r="J27">
            <v>750</v>
          </cell>
          <cell r="K27">
            <v>750</v>
          </cell>
        </row>
        <row r="28">
          <cell r="B28">
            <v>33564</v>
          </cell>
          <cell r="C28">
            <v>23601.4</v>
          </cell>
          <cell r="D28">
            <v>8000</v>
          </cell>
          <cell r="H28">
            <v>8500</v>
          </cell>
          <cell r="I28">
            <v>8500</v>
          </cell>
          <cell r="J28">
            <v>8500</v>
          </cell>
          <cell r="K28">
            <v>8500</v>
          </cell>
        </row>
        <row r="30">
          <cell r="B30">
            <v>179300</v>
          </cell>
        </row>
        <row r="31">
          <cell r="B31">
            <v>55000</v>
          </cell>
          <cell r="C31">
            <v>640</v>
          </cell>
        </row>
        <row r="32">
          <cell r="B32">
            <v>15700</v>
          </cell>
        </row>
        <row r="33">
          <cell r="B33">
            <v>0</v>
          </cell>
          <cell r="C33">
            <v>127358.5</v>
          </cell>
          <cell r="D33">
            <v>127358.5</v>
          </cell>
          <cell r="I33">
            <v>135000</v>
          </cell>
          <cell r="K33">
            <v>135000</v>
          </cell>
        </row>
        <row r="34">
          <cell r="B34">
            <v>0</v>
          </cell>
        </row>
        <row r="35">
          <cell r="B35">
            <v>0</v>
          </cell>
        </row>
        <row r="36">
          <cell r="B36">
            <v>102752</v>
          </cell>
          <cell r="C36">
            <v>55916.76</v>
          </cell>
          <cell r="D36">
            <v>15000</v>
          </cell>
          <cell r="H36">
            <v>19500</v>
          </cell>
          <cell r="I36">
            <v>30500</v>
          </cell>
          <cell r="J36">
            <v>33500</v>
          </cell>
          <cell r="K36">
            <v>19500</v>
          </cell>
        </row>
        <row r="37">
          <cell r="B37">
            <v>0</v>
          </cell>
          <cell r="I37">
            <v>33174</v>
          </cell>
        </row>
        <row r="38">
          <cell r="B38">
            <v>0</v>
          </cell>
        </row>
        <row r="39">
          <cell r="B39">
            <v>66400</v>
          </cell>
          <cell r="C39">
            <v>16256.09</v>
          </cell>
          <cell r="D39">
            <v>0</v>
          </cell>
          <cell r="H39">
            <v>5375</v>
          </cell>
          <cell r="I39">
            <v>18375</v>
          </cell>
          <cell r="J39">
            <v>20375</v>
          </cell>
          <cell r="K39">
            <v>18275</v>
          </cell>
        </row>
        <row r="40">
          <cell r="B40">
            <v>24600</v>
          </cell>
          <cell r="C40">
            <v>800</v>
          </cell>
          <cell r="H40">
            <v>600</v>
          </cell>
          <cell r="I40">
            <v>600</v>
          </cell>
          <cell r="J40">
            <v>600</v>
          </cell>
          <cell r="K40">
            <v>600</v>
          </cell>
        </row>
        <row r="41">
          <cell r="B41">
            <v>56440</v>
          </cell>
          <cell r="C41">
            <v>11636.8</v>
          </cell>
          <cell r="D41">
            <v>48180</v>
          </cell>
          <cell r="H41">
            <v>7800</v>
          </cell>
          <cell r="I41">
            <v>7400</v>
          </cell>
          <cell r="J41">
            <v>5900</v>
          </cell>
          <cell r="K41">
            <v>48174</v>
          </cell>
        </row>
        <row r="42">
          <cell r="B42">
            <v>0</v>
          </cell>
          <cell r="H42">
            <v>2500</v>
          </cell>
          <cell r="I42">
            <v>0</v>
          </cell>
          <cell r="J42">
            <v>2500</v>
          </cell>
          <cell r="K42">
            <v>0</v>
          </cell>
        </row>
        <row r="43">
          <cell r="B43">
            <v>33600</v>
          </cell>
          <cell r="C43">
            <v>33461.48</v>
          </cell>
          <cell r="D43">
            <v>300</v>
          </cell>
          <cell r="H43">
            <v>8100</v>
          </cell>
          <cell r="I43">
            <v>8400</v>
          </cell>
          <cell r="J43">
            <v>8100</v>
          </cell>
          <cell r="K43">
            <v>7900</v>
          </cell>
        </row>
        <row r="44">
          <cell r="B44">
            <v>6500</v>
          </cell>
          <cell r="C44">
            <v>0</v>
          </cell>
          <cell r="D44">
            <v>0</v>
          </cell>
          <cell r="H44">
            <v>3550</v>
          </cell>
          <cell r="I44">
            <v>56250</v>
          </cell>
          <cell r="J44">
            <v>34350</v>
          </cell>
          <cell r="K44">
            <v>3550</v>
          </cell>
        </row>
        <row r="45">
          <cell r="B45">
            <v>2000</v>
          </cell>
          <cell r="H45">
            <v>4000</v>
          </cell>
          <cell r="I45">
            <v>1300</v>
          </cell>
          <cell r="J45">
            <v>1300</v>
          </cell>
          <cell r="K45">
            <v>1300</v>
          </cell>
        </row>
        <row r="46">
          <cell r="B46">
            <v>20000</v>
          </cell>
          <cell r="H46">
            <v>0</v>
          </cell>
          <cell r="I46">
            <v>10000</v>
          </cell>
          <cell r="J46">
            <v>0</v>
          </cell>
          <cell r="K46">
            <v>0</v>
          </cell>
        </row>
        <row r="48">
          <cell r="B48">
            <v>0</v>
          </cell>
          <cell r="H48">
            <v>0</v>
          </cell>
          <cell r="I48">
            <v>0</v>
          </cell>
          <cell r="J48">
            <v>0</v>
          </cell>
          <cell r="K48">
            <v>0</v>
          </cell>
        </row>
        <row r="49">
          <cell r="B49">
            <v>200000</v>
          </cell>
          <cell r="C49">
            <v>186310.37</v>
          </cell>
          <cell r="H49">
            <v>0</v>
          </cell>
          <cell r="I49">
            <v>240000</v>
          </cell>
          <cell r="J49">
            <v>0</v>
          </cell>
          <cell r="K49">
            <v>0</v>
          </cell>
        </row>
        <row r="50">
          <cell r="B50">
            <v>0</v>
          </cell>
        </row>
        <row r="51">
          <cell r="B51">
            <v>136000</v>
          </cell>
          <cell r="C51">
            <v>66037.74</v>
          </cell>
          <cell r="D51">
            <v>0</v>
          </cell>
          <cell r="H51">
            <v>73000</v>
          </cell>
          <cell r="I51">
            <v>5000</v>
          </cell>
          <cell r="J51">
            <v>8000</v>
          </cell>
          <cell r="K51">
            <v>5000</v>
          </cell>
        </row>
        <row r="52">
          <cell r="B52">
            <v>50000</v>
          </cell>
          <cell r="C52">
            <v>1320</v>
          </cell>
          <cell r="D52">
            <v>0</v>
          </cell>
          <cell r="H52">
            <v>7500</v>
          </cell>
          <cell r="I52">
            <v>7500</v>
          </cell>
          <cell r="J52">
            <v>7500</v>
          </cell>
          <cell r="K52">
            <v>7500</v>
          </cell>
        </row>
        <row r="53">
          <cell r="B53">
            <v>5000</v>
          </cell>
          <cell r="C53">
            <v>470</v>
          </cell>
          <cell r="H53">
            <v>0</v>
          </cell>
          <cell r="I53">
            <v>0</v>
          </cell>
          <cell r="J53">
            <v>5000</v>
          </cell>
          <cell r="K53">
            <v>0</v>
          </cell>
        </row>
        <row r="55">
          <cell r="B55">
            <v>67700</v>
          </cell>
          <cell r="C55">
            <v>10928</v>
          </cell>
          <cell r="D55">
            <v>55600</v>
          </cell>
          <cell r="H55">
            <v>12900</v>
          </cell>
          <cell r="I55">
            <v>12280</v>
          </cell>
          <cell r="J55">
            <v>50680</v>
          </cell>
          <cell r="K55">
            <v>10840</v>
          </cell>
        </row>
        <row r="56">
          <cell r="B56">
            <v>73340</v>
          </cell>
          <cell r="C56">
            <v>65620.55</v>
          </cell>
          <cell r="D56">
            <v>97719.45</v>
          </cell>
          <cell r="H56">
            <v>69120</v>
          </cell>
          <cell r="I56">
            <v>97338</v>
          </cell>
          <cell r="J56">
            <v>70190</v>
          </cell>
          <cell r="K56">
            <v>56620</v>
          </cell>
        </row>
        <row r="57">
          <cell r="B57">
            <v>31000</v>
          </cell>
          <cell r="C57">
            <v>24411.05</v>
          </cell>
          <cell r="D57">
            <v>0</v>
          </cell>
          <cell r="H57">
            <v>2000</v>
          </cell>
          <cell r="I57">
            <v>37000</v>
          </cell>
          <cell r="J57">
            <v>8000</v>
          </cell>
          <cell r="K57">
            <v>3000</v>
          </cell>
        </row>
        <row r="58">
          <cell r="B58">
            <v>0</v>
          </cell>
        </row>
        <row r="59">
          <cell r="B59">
            <v>0</v>
          </cell>
        </row>
        <row r="60">
          <cell r="B60">
            <v>0</v>
          </cell>
          <cell r="C60">
            <v>0</v>
          </cell>
        </row>
        <row r="61">
          <cell r="B61">
            <v>50094</v>
          </cell>
          <cell r="C61">
            <v>12954.6</v>
          </cell>
          <cell r="D61">
            <v>17870</v>
          </cell>
          <cell r="H61">
            <v>10000</v>
          </cell>
          <cell r="I61">
            <v>15000</v>
          </cell>
          <cell r="J61">
            <v>20000</v>
          </cell>
          <cell r="K61">
            <v>10000</v>
          </cell>
        </row>
        <row r="62">
          <cell r="B62">
            <v>15450</v>
          </cell>
          <cell r="C62">
            <v>0</v>
          </cell>
        </row>
        <row r="63">
          <cell r="B63">
            <v>0</v>
          </cell>
        </row>
        <row r="64">
          <cell r="B64">
            <v>2000</v>
          </cell>
          <cell r="C64">
            <v>2212</v>
          </cell>
          <cell r="D64">
            <v>2428</v>
          </cell>
          <cell r="H64">
            <v>2500</v>
          </cell>
          <cell r="I64">
            <v>2500</v>
          </cell>
          <cell r="J64">
            <v>2500</v>
          </cell>
          <cell r="K64">
            <v>3500</v>
          </cell>
        </row>
        <row r="65">
          <cell r="B65">
            <v>8500</v>
          </cell>
          <cell r="C65">
            <v>4612</v>
          </cell>
          <cell r="D65">
            <v>800</v>
          </cell>
          <cell r="H65">
            <v>3940</v>
          </cell>
          <cell r="I65">
            <v>2740</v>
          </cell>
          <cell r="J65">
            <v>2740</v>
          </cell>
          <cell r="K65">
            <v>2140</v>
          </cell>
        </row>
        <row r="66">
          <cell r="B66">
            <v>38640</v>
          </cell>
          <cell r="C66">
            <v>24948.49</v>
          </cell>
          <cell r="H66">
            <v>54920</v>
          </cell>
          <cell r="I66">
            <v>218320</v>
          </cell>
          <cell r="J66">
            <v>15500</v>
          </cell>
          <cell r="K66">
            <v>3000</v>
          </cell>
        </row>
        <row r="69">
          <cell r="B69">
            <v>62722.74999999999</v>
          </cell>
          <cell r="C69">
            <v>44619.78</v>
          </cell>
          <cell r="D69">
            <v>16968.63</v>
          </cell>
          <cell r="H69">
            <v>20314.35</v>
          </cell>
          <cell r="I69">
            <v>23735.07</v>
          </cell>
          <cell r="J69">
            <v>24672.74</v>
          </cell>
          <cell r="K69">
            <v>24850.57</v>
          </cell>
        </row>
        <row r="70">
          <cell r="B70">
            <v>729.1666666666666</v>
          </cell>
          <cell r="C70">
            <v>8132.03</v>
          </cell>
          <cell r="D70">
            <v>11052.18</v>
          </cell>
          <cell r="H70">
            <v>11385.51</v>
          </cell>
          <cell r="I70">
            <v>11385.51</v>
          </cell>
          <cell r="J70">
            <v>11385.51</v>
          </cell>
          <cell r="K70">
            <v>11385.51</v>
          </cell>
        </row>
        <row r="71">
          <cell r="B71">
            <v>7370</v>
          </cell>
          <cell r="C71">
            <v>21461.55</v>
          </cell>
          <cell r="D71">
            <v>1000</v>
          </cell>
          <cell r="H71">
            <v>14200</v>
          </cell>
          <cell r="I71">
            <v>16700</v>
          </cell>
          <cell r="J71">
            <v>9500</v>
          </cell>
          <cell r="K71">
            <v>9000</v>
          </cell>
        </row>
      </sheetData>
      <sheetData sheetId="18">
        <row r="6">
          <cell r="B6">
            <v>-153460</v>
          </cell>
          <cell r="C6">
            <v>-450985.96</v>
          </cell>
          <cell r="D6">
            <v>-125306.46</v>
          </cell>
          <cell r="H6">
            <v>-125306.46</v>
          </cell>
          <cell r="I6">
            <v>-125306.46</v>
          </cell>
          <cell r="J6">
            <v>-125306.46</v>
          </cell>
          <cell r="K6">
            <v>-125306.46</v>
          </cell>
        </row>
        <row r="7">
          <cell r="B7">
            <v>0</v>
          </cell>
        </row>
        <row r="8">
          <cell r="B8">
            <v>2200</v>
          </cell>
          <cell r="C8">
            <v>737.5</v>
          </cell>
          <cell r="D8">
            <v>550</v>
          </cell>
          <cell r="H8">
            <v>550</v>
          </cell>
          <cell r="I8">
            <v>550</v>
          </cell>
          <cell r="J8">
            <v>550</v>
          </cell>
          <cell r="K8">
            <v>550</v>
          </cell>
        </row>
        <row r="9">
          <cell r="B9">
            <v>1200</v>
          </cell>
          <cell r="C9">
            <v>312</v>
          </cell>
          <cell r="D9">
            <v>200</v>
          </cell>
          <cell r="H9">
            <v>200</v>
          </cell>
          <cell r="I9">
            <v>200</v>
          </cell>
          <cell r="J9">
            <v>600</v>
          </cell>
          <cell r="K9">
            <v>200</v>
          </cell>
        </row>
        <row r="10">
          <cell r="B10">
            <v>0</v>
          </cell>
        </row>
        <row r="11">
          <cell r="B11">
            <v>240</v>
          </cell>
          <cell r="C11">
            <v>180</v>
          </cell>
          <cell r="D11">
            <v>60</v>
          </cell>
          <cell r="H11">
            <v>60</v>
          </cell>
          <cell r="I11">
            <v>60</v>
          </cell>
          <cell r="J11">
            <v>60</v>
          </cell>
          <cell r="K11">
            <v>60</v>
          </cell>
        </row>
      </sheetData>
      <sheetData sheetId="19">
        <row r="6">
          <cell r="C6">
            <v>50000404.36</v>
          </cell>
          <cell r="D6">
            <v>50125227.88999999</v>
          </cell>
          <cell r="E6">
            <v>51196499.652799994</v>
          </cell>
        </row>
        <row r="7">
          <cell r="E7">
            <v>0</v>
          </cell>
        </row>
        <row r="9">
          <cell r="C9">
            <v>0</v>
          </cell>
          <cell r="E9">
            <v>0</v>
          </cell>
        </row>
        <row r="10">
          <cell r="C10">
            <v>0</v>
          </cell>
          <cell r="D10">
            <v>0</v>
          </cell>
          <cell r="E10">
            <v>0</v>
          </cell>
        </row>
        <row r="13">
          <cell r="C13">
            <v>5632311.72</v>
          </cell>
          <cell r="D13">
            <v>4270355.1</v>
          </cell>
          <cell r="E13">
            <v>3070355.0999999996</v>
          </cell>
        </row>
        <row r="24">
          <cell r="C24">
            <v>184245.38</v>
          </cell>
          <cell r="D24">
            <v>247681.32</v>
          </cell>
          <cell r="E24">
            <v>252681.32</v>
          </cell>
          <cell r="F24">
            <v>327381.32</v>
          </cell>
          <cell r="G24">
            <v>336881.32</v>
          </cell>
          <cell r="H24">
            <v>351381.32</v>
          </cell>
          <cell r="I24">
            <v>351381.32</v>
          </cell>
        </row>
        <row r="25">
          <cell r="C25">
            <v>50923.89</v>
          </cell>
          <cell r="D25">
            <v>95543.67</v>
          </cell>
          <cell r="E25">
            <v>112512.3</v>
          </cell>
          <cell r="F25">
            <v>132826.65</v>
          </cell>
          <cell r="G25">
            <v>156561.72</v>
          </cell>
          <cell r="H25">
            <v>181234.46</v>
          </cell>
          <cell r="I25">
            <v>206085.03</v>
          </cell>
        </row>
        <row r="29">
          <cell r="D29">
            <v>29424.53</v>
          </cell>
          <cell r="E29">
            <v>40155.75</v>
          </cell>
          <cell r="F29">
            <v>0</v>
          </cell>
          <cell r="G29">
            <v>0</v>
          </cell>
          <cell r="H29">
            <v>0</v>
          </cell>
          <cell r="I29">
            <v>0</v>
          </cell>
        </row>
        <row r="37">
          <cell r="C37">
            <v>971159911.8499999</v>
          </cell>
          <cell r="D37">
            <v>971280477.16</v>
          </cell>
          <cell r="E37">
            <v>971165482.41</v>
          </cell>
          <cell r="F37">
            <v>971304096.9</v>
          </cell>
          <cell r="G37">
            <v>971292711.39</v>
          </cell>
          <cell r="H37">
            <v>971281325.88</v>
          </cell>
          <cell r="I37">
            <v>971269940.37</v>
          </cell>
        </row>
      </sheetData>
      <sheetData sheetId="20">
        <row r="9">
          <cell r="C9">
            <v>397358.49</v>
          </cell>
          <cell r="D9">
            <v>250188.68</v>
          </cell>
          <cell r="E9">
            <v>152075.47</v>
          </cell>
          <cell r="F9">
            <v>152075.47</v>
          </cell>
          <cell r="G9">
            <v>152075.47</v>
          </cell>
          <cell r="H9">
            <v>152075.47</v>
          </cell>
          <cell r="I9">
            <v>152075.47</v>
          </cell>
        </row>
        <row r="10">
          <cell r="C10">
            <v>16500</v>
          </cell>
          <cell r="D10">
            <v>0</v>
          </cell>
        </row>
        <row r="12">
          <cell r="C12">
            <v>2225644.18</v>
          </cell>
          <cell r="D12">
            <v>1958120.81</v>
          </cell>
          <cell r="E12">
            <v>2652614.37</v>
          </cell>
          <cell r="F12">
            <v>737144.72</v>
          </cell>
          <cell r="G12">
            <v>1474289.44</v>
          </cell>
          <cell r="H12">
            <v>2211434.16</v>
          </cell>
          <cell r="I12">
            <v>2948578.88</v>
          </cell>
        </row>
        <row r="14">
          <cell r="C14">
            <v>512306.86</v>
          </cell>
          <cell r="D14">
            <v>334323.74</v>
          </cell>
          <cell r="E14">
            <v>190188.6672</v>
          </cell>
          <cell r="F14">
            <v>227952.43924528302</v>
          </cell>
          <cell r="G14">
            <v>261269.79851133804</v>
          </cell>
          <cell r="H14">
            <v>250627.940541283</v>
          </cell>
          <cell r="I14">
            <v>725115.7414376048</v>
          </cell>
        </row>
        <row r="16">
          <cell r="C16">
            <v>0</v>
          </cell>
          <cell r="F16">
            <v>134532.69056</v>
          </cell>
        </row>
        <row r="17">
          <cell r="C17">
            <v>64169.79</v>
          </cell>
          <cell r="D17">
            <v>71074.81</v>
          </cell>
          <cell r="E17">
            <v>1218484.77</v>
          </cell>
        </row>
        <row r="19">
          <cell r="D19">
            <v>0</v>
          </cell>
        </row>
        <row r="25">
          <cell r="F25">
            <v>0</v>
          </cell>
          <cell r="G25">
            <v>0</v>
          </cell>
          <cell r="H25">
            <v>0</v>
          </cell>
          <cell r="I25">
            <v>0</v>
          </cell>
        </row>
        <row r="28">
          <cell r="E28">
            <v>1678514.6</v>
          </cell>
          <cell r="F28">
            <v>1630012.4576251982</v>
          </cell>
          <cell r="G28">
            <v>1687107.5059834528</v>
          </cell>
          <cell r="H28">
            <v>1862508.381585326</v>
          </cell>
          <cell r="I28">
            <v>1211869.0699781894</v>
          </cell>
        </row>
        <row r="33">
          <cell r="C33">
            <v>974465317.06</v>
          </cell>
          <cell r="D33">
            <v>874465317.06</v>
          </cell>
          <cell r="E33">
            <v>874465317.06</v>
          </cell>
          <cell r="F33">
            <v>874465317.06</v>
          </cell>
          <cell r="G33">
            <v>874465317.06</v>
          </cell>
          <cell r="H33">
            <v>874465317.06</v>
          </cell>
          <cell r="I33">
            <v>874465317.06</v>
          </cell>
        </row>
        <row r="35">
          <cell r="C35">
            <v>2675777.25</v>
          </cell>
          <cell r="D35">
            <v>4100082.6325</v>
          </cell>
        </row>
      </sheetData>
      <sheetData sheetId="21">
        <row r="11">
          <cell r="B11">
            <v>125550.07524</v>
          </cell>
        </row>
        <row r="19">
          <cell r="C19">
            <v>3984.6</v>
          </cell>
        </row>
        <row r="24">
          <cell r="C24">
            <v>611687.49</v>
          </cell>
        </row>
        <row r="25">
          <cell r="E25">
            <v>1013155.1627999977</v>
          </cell>
        </row>
      </sheetData>
      <sheetData sheetId="23">
        <row r="6">
          <cell r="B6">
            <v>2642.5</v>
          </cell>
          <cell r="C6">
            <v>1142.5</v>
          </cell>
          <cell r="D6">
            <v>2642.5</v>
          </cell>
          <cell r="E6">
            <v>1142.5</v>
          </cell>
          <cell r="F6">
            <v>1142.5</v>
          </cell>
          <cell r="G6">
            <v>1510.5</v>
          </cell>
          <cell r="H6">
            <v>1620.5</v>
          </cell>
          <cell r="I6">
            <v>1620.5</v>
          </cell>
        </row>
        <row r="7">
          <cell r="B7">
            <v>46277584.47</v>
          </cell>
          <cell r="C7">
            <v>47552392.68</v>
          </cell>
          <cell r="D7">
            <v>46277584.47</v>
          </cell>
          <cell r="E7">
            <v>48805864.81279999</v>
          </cell>
          <cell r="F7">
            <v>48805735.64279999</v>
          </cell>
          <cell r="G7">
            <v>45138645.75716027</v>
          </cell>
          <cell r="H7">
            <v>46056777.61008816</v>
          </cell>
          <cell r="I7">
            <v>48202934.97485366</v>
          </cell>
        </row>
        <row r="8">
          <cell r="B8">
            <v>170014.83</v>
          </cell>
          <cell r="C8">
            <v>170144</v>
          </cell>
          <cell r="D8">
            <v>170014.83</v>
          </cell>
          <cell r="E8">
            <v>170144</v>
          </cell>
          <cell r="F8">
            <v>170273.17</v>
          </cell>
          <cell r="G8">
            <v>170402.34000000003</v>
          </cell>
          <cell r="H8">
            <v>170531.51000000004</v>
          </cell>
          <cell r="I8">
            <v>170660.68000000005</v>
          </cell>
        </row>
        <row r="9">
          <cell r="B9">
            <v>758875.08</v>
          </cell>
          <cell r="C9">
            <v>759451.1799999999</v>
          </cell>
          <cell r="D9">
            <v>758875.08</v>
          </cell>
          <cell r="E9">
            <v>760027.28</v>
          </cell>
          <cell r="F9">
            <v>760027.28</v>
          </cell>
          <cell r="G9">
            <v>760603.38</v>
          </cell>
          <cell r="H9">
            <v>761179.48</v>
          </cell>
          <cell r="I9">
            <v>761755.58</v>
          </cell>
        </row>
        <row r="10">
          <cell r="B10">
            <v>2916111.01</v>
          </cell>
          <cell r="C10">
            <v>2459321.059999995</v>
          </cell>
          <cell r="D10">
            <v>2916111.01</v>
          </cell>
          <cell r="E10">
            <v>1459321.06</v>
          </cell>
          <cell r="F10">
            <v>1459321.06</v>
          </cell>
          <cell r="G10">
            <v>3859321.0600000005</v>
          </cell>
          <cell r="H10">
            <v>3259321.0600000005</v>
          </cell>
          <cell r="I10">
            <v>2659321.0600000005</v>
          </cell>
        </row>
        <row r="11">
          <cell r="E11">
            <v>0</v>
          </cell>
        </row>
        <row r="13">
          <cell r="E13">
            <v>5511481.893683055</v>
          </cell>
        </row>
        <row r="23">
          <cell r="E23">
            <v>-2146099.508</v>
          </cell>
        </row>
        <row r="35">
          <cell r="E35">
            <v>-134532.69056</v>
          </cell>
        </row>
        <row r="46">
          <cell r="D46">
            <v>51196499.652799994</v>
          </cell>
        </row>
      </sheetData>
      <sheetData sheetId="24">
        <row r="7">
          <cell r="B7">
            <v>10257538.7</v>
          </cell>
          <cell r="C7">
            <v>3181283</v>
          </cell>
          <cell r="F7">
            <v>3000000</v>
          </cell>
          <cell r="G7">
            <v>3194841.8</v>
          </cell>
          <cell r="H7">
            <v>3704955.37</v>
          </cell>
          <cell r="I7">
            <v>6266008.16</v>
          </cell>
        </row>
        <row r="10">
          <cell r="B10">
            <v>2514111.81</v>
          </cell>
          <cell r="C10">
            <v>125306.46</v>
          </cell>
          <cell r="F10">
            <v>125306.46</v>
          </cell>
          <cell r="G10">
            <v>125806.46</v>
          </cell>
          <cell r="H10">
            <v>125306.46</v>
          </cell>
          <cell r="I10">
            <v>125306.46</v>
          </cell>
        </row>
        <row r="12">
          <cell r="H12">
            <v>0</v>
          </cell>
        </row>
        <row r="16">
          <cell r="B16">
            <v>28102</v>
          </cell>
          <cell r="F16">
            <v>332935.2</v>
          </cell>
          <cell r="G16">
            <v>16700</v>
          </cell>
          <cell r="H16">
            <v>9500</v>
          </cell>
          <cell r="I16">
            <v>9000</v>
          </cell>
        </row>
        <row r="18">
          <cell r="B18">
            <v>2848878.99</v>
          </cell>
          <cell r="C18">
            <v>851483</v>
          </cell>
          <cell r="F18">
            <v>3773398.545</v>
          </cell>
          <cell r="G18">
            <v>1148724.175</v>
          </cell>
          <cell r="H18">
            <v>1147924.175</v>
          </cell>
          <cell r="I18">
            <v>1119304.175</v>
          </cell>
        </row>
        <row r="19">
          <cell r="B19">
            <v>1796888</v>
          </cell>
          <cell r="F19">
            <v>24510</v>
          </cell>
          <cell r="G19">
            <v>24510</v>
          </cell>
          <cell r="H19">
            <v>24510</v>
          </cell>
          <cell r="I19">
            <v>24510</v>
          </cell>
        </row>
        <row r="20">
          <cell r="B20">
            <v>47896</v>
          </cell>
          <cell r="C20">
            <v>3168</v>
          </cell>
          <cell r="F20">
            <v>9900</v>
          </cell>
          <cell r="G20">
            <v>36700</v>
          </cell>
          <cell r="H20">
            <v>40800</v>
          </cell>
          <cell r="I20">
            <v>8400</v>
          </cell>
        </row>
        <row r="21">
          <cell r="B21">
            <v>751550.71</v>
          </cell>
          <cell r="C21">
            <v>264831.87999999995</v>
          </cell>
          <cell r="F21">
            <v>276780.03</v>
          </cell>
          <cell r="G21">
            <v>276780.03</v>
          </cell>
          <cell r="H21">
            <v>276780.03</v>
          </cell>
          <cell r="I21">
            <v>276780.03</v>
          </cell>
        </row>
        <row r="22">
          <cell r="B22">
            <v>358608</v>
          </cell>
          <cell r="C22">
            <v>128355</v>
          </cell>
          <cell r="F22">
            <v>128220</v>
          </cell>
          <cell r="G22">
            <v>128220</v>
          </cell>
          <cell r="H22">
            <v>128220</v>
          </cell>
          <cell r="I22">
            <v>128220</v>
          </cell>
        </row>
        <row r="23">
          <cell r="B23">
            <v>67319.6</v>
          </cell>
          <cell r="C23">
            <v>141835.63999999998</v>
          </cell>
          <cell r="F23">
            <v>65946.261325</v>
          </cell>
          <cell r="G23">
            <v>57863.85062499999</v>
          </cell>
          <cell r="H23">
            <v>57835.85062499999</v>
          </cell>
          <cell r="I23">
            <v>57884.150624999995</v>
          </cell>
        </row>
        <row r="25">
          <cell r="B25">
            <v>417219.57</v>
          </cell>
          <cell r="C25">
            <v>58141.11720000001</v>
          </cell>
          <cell r="F25">
            <v>53798.52000000001</v>
          </cell>
          <cell r="G25">
            <v>58141.11849056605</v>
          </cell>
          <cell r="H25">
            <v>61710.83555478623</v>
          </cell>
          <cell r="I25">
            <v>60570.63648656605</v>
          </cell>
        </row>
        <row r="26">
          <cell r="B26">
            <v>970655.88</v>
          </cell>
          <cell r="C26">
            <v>34409.83</v>
          </cell>
          <cell r="F26">
            <v>0</v>
          </cell>
          <cell r="G26">
            <v>0</v>
          </cell>
          <cell r="H26">
            <v>0</v>
          </cell>
          <cell r="I26">
            <v>486752.0196643218</v>
          </cell>
        </row>
        <row r="27">
          <cell r="B27">
            <v>81200.24</v>
          </cell>
          <cell r="C27">
            <v>5417.5</v>
          </cell>
          <cell r="F27">
            <v>0</v>
          </cell>
          <cell r="G27">
            <v>0</v>
          </cell>
          <cell r="H27">
            <v>0</v>
          </cell>
          <cell r="I27">
            <v>0</v>
          </cell>
        </row>
        <row r="28">
          <cell r="B28">
            <v>421014.78</v>
          </cell>
          <cell r="C28">
            <v>169811.31</v>
          </cell>
          <cell r="F28">
            <v>169811.32075471696</v>
          </cell>
          <cell r="G28">
            <v>199558.9629565518</v>
          </cell>
          <cell r="H28">
            <v>190057.30405471698</v>
          </cell>
          <cell r="I28">
            <v>188352.05515471695</v>
          </cell>
        </row>
        <row r="31">
          <cell r="B31">
            <v>78698.8</v>
          </cell>
          <cell r="C31">
            <v>11300</v>
          </cell>
          <cell r="F31">
            <v>31882</v>
          </cell>
          <cell r="G31">
            <v>34782</v>
          </cell>
          <cell r="H31">
            <v>28782</v>
          </cell>
          <cell r="I31">
            <v>31282</v>
          </cell>
        </row>
        <row r="32">
          <cell r="B32">
            <v>18364.73</v>
          </cell>
          <cell r="C32">
            <v>5532</v>
          </cell>
          <cell r="F32">
            <v>10954</v>
          </cell>
          <cell r="G32">
            <v>11794</v>
          </cell>
          <cell r="H32">
            <v>11794</v>
          </cell>
          <cell r="I32">
            <v>10954</v>
          </cell>
        </row>
        <row r="33">
          <cell r="B33">
            <v>0</v>
          </cell>
          <cell r="F33">
            <v>750</v>
          </cell>
          <cell r="G33">
            <v>750</v>
          </cell>
          <cell r="H33">
            <v>750</v>
          </cell>
          <cell r="I33">
            <v>750</v>
          </cell>
        </row>
        <row r="34">
          <cell r="B34">
            <v>23601.4</v>
          </cell>
          <cell r="C34">
            <v>8000</v>
          </cell>
          <cell r="F34">
            <v>8500</v>
          </cell>
          <cell r="G34">
            <v>8500</v>
          </cell>
          <cell r="H34">
            <v>8500</v>
          </cell>
          <cell r="I34">
            <v>8500</v>
          </cell>
        </row>
        <row r="35">
          <cell r="B35">
            <v>127998.5</v>
          </cell>
          <cell r="C35">
            <v>127358.5</v>
          </cell>
          <cell r="F35">
            <v>0</v>
          </cell>
          <cell r="G35">
            <v>135000</v>
          </cell>
          <cell r="H35">
            <v>0</v>
          </cell>
          <cell r="I35">
            <v>135000</v>
          </cell>
        </row>
        <row r="36">
          <cell r="B36">
            <v>55916.76</v>
          </cell>
          <cell r="C36">
            <v>15000</v>
          </cell>
          <cell r="F36">
            <v>19500</v>
          </cell>
          <cell r="G36">
            <v>30500</v>
          </cell>
          <cell r="H36">
            <v>33500</v>
          </cell>
          <cell r="I36">
            <v>19500</v>
          </cell>
        </row>
        <row r="37">
          <cell r="B37">
            <v>16256.09</v>
          </cell>
          <cell r="C37">
            <v>0</v>
          </cell>
          <cell r="F37">
            <v>5375</v>
          </cell>
          <cell r="G37">
            <v>18375</v>
          </cell>
          <cell r="H37">
            <v>20375</v>
          </cell>
          <cell r="I37">
            <v>18275</v>
          </cell>
        </row>
        <row r="38">
          <cell r="B38">
            <v>800</v>
          </cell>
          <cell r="F38">
            <v>600</v>
          </cell>
          <cell r="G38">
            <v>600</v>
          </cell>
          <cell r="H38">
            <v>600</v>
          </cell>
          <cell r="I38">
            <v>600</v>
          </cell>
        </row>
        <row r="39">
          <cell r="F39">
            <v>0</v>
          </cell>
          <cell r="G39">
            <v>33174</v>
          </cell>
          <cell r="H39">
            <v>0</v>
          </cell>
          <cell r="I39">
            <v>0</v>
          </cell>
        </row>
        <row r="40">
          <cell r="B40">
            <v>11636.8</v>
          </cell>
          <cell r="C40">
            <v>48180</v>
          </cell>
          <cell r="F40">
            <v>7800</v>
          </cell>
          <cell r="G40">
            <v>7400</v>
          </cell>
          <cell r="H40">
            <v>5900</v>
          </cell>
          <cell r="I40">
            <v>48174</v>
          </cell>
        </row>
        <row r="41">
          <cell r="B41">
            <v>33461.48</v>
          </cell>
          <cell r="C41">
            <v>300</v>
          </cell>
          <cell r="F41">
            <v>8100</v>
          </cell>
          <cell r="G41">
            <v>8400</v>
          </cell>
          <cell r="H41">
            <v>8100</v>
          </cell>
          <cell r="I41">
            <v>7900</v>
          </cell>
        </row>
        <row r="42">
          <cell r="B42">
            <v>0</v>
          </cell>
          <cell r="C42">
            <v>0</v>
          </cell>
          <cell r="F42">
            <v>3550</v>
          </cell>
          <cell r="G42">
            <v>56250</v>
          </cell>
          <cell r="H42">
            <v>34350</v>
          </cell>
          <cell r="I42">
            <v>3550</v>
          </cell>
        </row>
        <row r="43">
          <cell r="F43">
            <v>4000</v>
          </cell>
          <cell r="G43">
            <v>1300</v>
          </cell>
          <cell r="H43">
            <v>1300</v>
          </cell>
          <cell r="I43">
            <v>1300</v>
          </cell>
        </row>
        <row r="44">
          <cell r="F44">
            <v>0</v>
          </cell>
          <cell r="G44">
            <v>10000</v>
          </cell>
          <cell r="H44">
            <v>0</v>
          </cell>
          <cell r="I44">
            <v>0</v>
          </cell>
        </row>
        <row r="45">
          <cell r="B45">
            <v>254138.11</v>
          </cell>
          <cell r="C45">
            <v>0</v>
          </cell>
          <cell r="F45">
            <v>80500</v>
          </cell>
          <cell r="G45">
            <v>252500</v>
          </cell>
          <cell r="H45">
            <v>20500</v>
          </cell>
          <cell r="I45">
            <v>12500</v>
          </cell>
        </row>
        <row r="46">
          <cell r="B46">
            <v>113914.20000000001</v>
          </cell>
          <cell r="C46">
            <v>171189.45</v>
          </cell>
          <cell r="F46">
            <v>94020</v>
          </cell>
          <cell r="G46">
            <v>161618</v>
          </cell>
          <cell r="H46">
            <v>148870</v>
          </cell>
          <cell r="I46">
            <v>80460</v>
          </cell>
        </row>
        <row r="47">
          <cell r="F47">
            <v>0</v>
          </cell>
          <cell r="G47">
            <v>0</v>
          </cell>
          <cell r="H47">
            <v>0</v>
          </cell>
          <cell r="I47">
            <v>0</v>
          </cell>
        </row>
        <row r="48">
          <cell r="B48">
            <v>2212</v>
          </cell>
          <cell r="C48">
            <v>2428</v>
          </cell>
          <cell r="F48">
            <v>2500</v>
          </cell>
          <cell r="G48">
            <v>2500</v>
          </cell>
          <cell r="H48">
            <v>2500</v>
          </cell>
          <cell r="I48">
            <v>3500</v>
          </cell>
        </row>
        <row r="49">
          <cell r="B49">
            <v>4612</v>
          </cell>
          <cell r="C49">
            <v>800</v>
          </cell>
          <cell r="F49">
            <v>3940</v>
          </cell>
          <cell r="G49">
            <v>2740</v>
          </cell>
          <cell r="H49">
            <v>2740</v>
          </cell>
          <cell r="I49">
            <v>2140</v>
          </cell>
        </row>
        <row r="50">
          <cell r="B50">
            <v>632563.34</v>
          </cell>
          <cell r="F50">
            <v>56920</v>
          </cell>
          <cell r="G50">
            <v>220320</v>
          </cell>
          <cell r="H50">
            <v>17500</v>
          </cell>
          <cell r="I50">
            <v>10600</v>
          </cell>
        </row>
        <row r="52">
          <cell r="B52">
            <v>1197961.19</v>
          </cell>
          <cell r="F52">
            <v>0</v>
          </cell>
          <cell r="H52">
            <v>0</v>
          </cell>
        </row>
      </sheetData>
      <sheetData sheetId="25">
        <row r="7">
          <cell r="B7">
            <v>0</v>
          </cell>
        </row>
        <row r="8">
          <cell r="B8">
            <v>0</v>
          </cell>
        </row>
        <row r="16">
          <cell r="B16">
            <v>63435.94</v>
          </cell>
          <cell r="C16">
            <v>5000</v>
          </cell>
        </row>
        <row r="20">
          <cell r="B20">
            <v>158121.87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人工成本"/>
      <sheetName val="2)人力资源成本预算表"/>
      <sheetName val="3)人员情况表"/>
      <sheetName val="4)自建地产及经营性投资项目预算表"/>
      <sheetName val="5)自建代建项目开发成本预算表（年）"/>
      <sheetName val="6)固定资产及无形资产预算表"/>
      <sheetName val="7)筹资预算表"/>
      <sheetName val="8)权益性投资预算表"/>
      <sheetName val="9)资产处置预算表"/>
      <sheetName val="10)并购项目预算明细表"/>
      <sheetName val="11)合作项目预算表"/>
      <sheetName val="12)公务用车预算明细表"/>
      <sheetName val="13)主营业务收支预算表"/>
      <sheetName val="13-1)生产成本预算表（汇总） "/>
      <sheetName val="13-1)生产成本预算表（1）"/>
      <sheetName val="13-1)生产成本预算表（2）"/>
      <sheetName val="13-1)生产成本预算表（3)"/>
      <sheetName val="13-2)营业成本预算表（汇总）"/>
      <sheetName val="13-2)营业成本预算表（三江居环境卫生)"/>
      <sheetName val="13-2)营业成本预算表（公车服务项目)"/>
      <sheetName val="13-2)营业成本预算表（农场后勤服务)"/>
      <sheetName val="13.-2营业成本预算表（综合培训基地）"/>
      <sheetName val="13-2营业成本预算表（消防服务项目）"/>
      <sheetName val="14)其他业务收支预算表"/>
      <sheetName val="15)营业外收支预算表"/>
      <sheetName val="16)税金预算表"/>
      <sheetName val="17)销售（经营）费用预算表"/>
      <sheetName val="18)管理费用预算表"/>
      <sheetName val="19)财务费用预算表"/>
      <sheetName val="20)资产负债预算表（一）"/>
      <sheetName val="21)资产负债预算表（二）"/>
      <sheetName val="22)利润预算表"/>
      <sheetName val="23)利润分配预算表"/>
      <sheetName val="24)资金预算表总表"/>
      <sheetName val="25)经营活动现金流量预算"/>
      <sheetName val="26)投资活动现金流量预算"/>
      <sheetName val="27)筹资活动现金流量预算"/>
    </sheetNames>
    <sheetDataSet>
      <sheetData sheetId="1">
        <row r="8">
          <cell r="L8">
            <v>213120</v>
          </cell>
        </row>
        <row r="17">
          <cell r="C17">
            <v>129544.3</v>
          </cell>
          <cell r="D17">
            <v>83493.13</v>
          </cell>
          <cell r="L17">
            <v>53280</v>
          </cell>
          <cell r="N17">
            <v>5766</v>
          </cell>
          <cell r="O17">
            <v>0</v>
          </cell>
          <cell r="P17">
            <v>39575</v>
          </cell>
          <cell r="Q17">
            <v>1600</v>
          </cell>
          <cell r="R17">
            <v>528</v>
          </cell>
          <cell r="S17">
            <v>18357.329999999998</v>
          </cell>
          <cell r="T17">
            <v>8721</v>
          </cell>
          <cell r="U17">
            <v>2003.92</v>
          </cell>
          <cell r="V17">
            <v>1502.9399999999998</v>
          </cell>
        </row>
        <row r="18">
          <cell r="C18">
            <v>119241.76</v>
          </cell>
          <cell r="D18">
            <v>78371.05</v>
          </cell>
          <cell r="L18">
            <v>37620</v>
          </cell>
          <cell r="N18">
            <v>4506</v>
          </cell>
          <cell r="O18">
            <v>9900</v>
          </cell>
          <cell r="P18">
            <v>17250</v>
          </cell>
          <cell r="Q18">
            <v>1600</v>
          </cell>
          <cell r="S18">
            <v>13286.49</v>
          </cell>
          <cell r="T18">
            <v>6312</v>
          </cell>
          <cell r="U18">
            <v>1417.02</v>
          </cell>
          <cell r="V18">
            <v>1062.7649999999999</v>
          </cell>
        </row>
        <row r="19">
          <cell r="C19">
            <v>789489.95</v>
          </cell>
          <cell r="D19">
            <v>552143.84</v>
          </cell>
          <cell r="L19">
            <v>343530</v>
          </cell>
          <cell r="N19">
            <v>60138</v>
          </cell>
          <cell r="O19">
            <v>83100</v>
          </cell>
          <cell r="P19">
            <v>132000</v>
          </cell>
          <cell r="Q19">
            <v>19800</v>
          </cell>
          <cell r="R19">
            <v>2016</v>
          </cell>
          <cell r="S19">
            <v>146911.67999999993</v>
          </cell>
          <cell r="T19">
            <v>58920</v>
          </cell>
          <cell r="U19">
            <v>12805.860000000002</v>
          </cell>
          <cell r="V19">
            <v>9604.394999999999</v>
          </cell>
        </row>
        <row r="20">
          <cell r="C20">
            <v>469152.23</v>
          </cell>
          <cell r="D20">
            <v>274384.66</v>
          </cell>
          <cell r="L20">
            <v>199800</v>
          </cell>
          <cell r="N20">
            <v>36120</v>
          </cell>
          <cell r="O20">
            <v>0</v>
          </cell>
          <cell r="P20">
            <v>23125</v>
          </cell>
          <cell r="Q20">
            <v>21240</v>
          </cell>
          <cell r="S20">
            <v>124691.69999999995</v>
          </cell>
          <cell r="T20">
            <v>1488</v>
          </cell>
          <cell r="U20">
            <v>4779.899999999998</v>
          </cell>
          <cell r="V20">
            <v>3584.9249999999997</v>
          </cell>
        </row>
        <row r="21">
          <cell r="C21">
            <v>34802.64</v>
          </cell>
          <cell r="D21">
            <v>5292</v>
          </cell>
          <cell r="L21">
            <v>4500</v>
          </cell>
          <cell r="N21">
            <v>792</v>
          </cell>
          <cell r="O21">
            <v>0</v>
          </cell>
          <cell r="P21">
            <v>750</v>
          </cell>
          <cell r="S21">
            <v>0</v>
          </cell>
          <cell r="T21">
            <v>0</v>
          </cell>
          <cell r="U21">
            <v>131.34</v>
          </cell>
          <cell r="V21">
            <v>0</v>
          </cell>
        </row>
        <row r="22">
          <cell r="O22">
            <v>10000</v>
          </cell>
          <cell r="P22">
            <v>169680.2999999998</v>
          </cell>
          <cell r="S22">
            <v>0</v>
          </cell>
          <cell r="T22">
            <v>0</v>
          </cell>
          <cell r="U22">
            <v>884.8000000000001</v>
          </cell>
          <cell r="V22">
            <v>663.6</v>
          </cell>
        </row>
        <row r="23">
          <cell r="C23">
            <v>0</v>
          </cell>
          <cell r="S23">
            <v>0</v>
          </cell>
          <cell r="T23">
            <v>0</v>
          </cell>
          <cell r="U23">
            <v>0</v>
          </cell>
          <cell r="V23">
            <v>0</v>
          </cell>
        </row>
        <row r="26">
          <cell r="C26">
            <v>132404.3</v>
          </cell>
          <cell r="D26">
            <v>88793.13</v>
          </cell>
          <cell r="L26">
            <v>53280</v>
          </cell>
          <cell r="N26">
            <v>8466</v>
          </cell>
          <cell r="O26">
            <v>0</v>
          </cell>
          <cell r="P26">
            <v>39575</v>
          </cell>
          <cell r="Q26">
            <v>1440</v>
          </cell>
          <cell r="R26">
            <v>2478</v>
          </cell>
          <cell r="S26">
            <v>18357.329999999998</v>
          </cell>
          <cell r="T26">
            <v>8721</v>
          </cell>
          <cell r="U26">
            <v>2003.92</v>
          </cell>
          <cell r="V26">
            <v>1502.9399999999998</v>
          </cell>
        </row>
        <row r="27">
          <cell r="C27">
            <v>123001.76</v>
          </cell>
          <cell r="D27">
            <v>83768.35</v>
          </cell>
          <cell r="L27">
            <v>37620</v>
          </cell>
          <cell r="N27">
            <v>7206</v>
          </cell>
          <cell r="O27">
            <v>9900</v>
          </cell>
          <cell r="P27">
            <v>17250</v>
          </cell>
          <cell r="Q27">
            <v>1440</v>
          </cell>
          <cell r="R27">
            <v>1950</v>
          </cell>
          <cell r="S27">
            <v>13286.49</v>
          </cell>
          <cell r="T27">
            <v>6312</v>
          </cell>
          <cell r="U27">
            <v>1417.02</v>
          </cell>
          <cell r="V27">
            <v>1062.7649999999999</v>
          </cell>
        </row>
        <row r="28">
          <cell r="C28">
            <v>823749.95</v>
          </cell>
          <cell r="D28">
            <v>611517</v>
          </cell>
          <cell r="L28">
            <v>343530</v>
          </cell>
          <cell r="N28">
            <v>97038</v>
          </cell>
          <cell r="O28">
            <v>83100</v>
          </cell>
          <cell r="P28">
            <v>132000</v>
          </cell>
          <cell r="Q28">
            <v>19800</v>
          </cell>
          <cell r="R28">
            <v>27366</v>
          </cell>
          <cell r="S28">
            <v>146911.67999999993</v>
          </cell>
          <cell r="T28">
            <v>58920</v>
          </cell>
          <cell r="U28">
            <v>12805.860000000002</v>
          </cell>
          <cell r="V28">
            <v>9604.394999999999</v>
          </cell>
        </row>
        <row r="29">
          <cell r="C29">
            <v>471022.23</v>
          </cell>
          <cell r="D29">
            <v>380306.5</v>
          </cell>
          <cell r="L29">
            <v>199800</v>
          </cell>
          <cell r="N29">
            <v>63120</v>
          </cell>
          <cell r="O29">
            <v>0</v>
          </cell>
          <cell r="P29">
            <v>23125</v>
          </cell>
          <cell r="Q29">
            <v>21240</v>
          </cell>
          <cell r="R29">
            <v>27300</v>
          </cell>
          <cell r="S29">
            <v>124691.69999999995</v>
          </cell>
          <cell r="T29">
            <v>1488</v>
          </cell>
          <cell r="U29">
            <v>4779.899999999998</v>
          </cell>
          <cell r="V29">
            <v>3584.9249999999997</v>
          </cell>
        </row>
        <row r="30">
          <cell r="C30">
            <v>35702.64</v>
          </cell>
          <cell r="D30">
            <v>5892</v>
          </cell>
          <cell r="L30">
            <v>4500</v>
          </cell>
          <cell r="N30">
            <v>1692</v>
          </cell>
          <cell r="O30">
            <v>0</v>
          </cell>
          <cell r="P30">
            <v>750</v>
          </cell>
          <cell r="R30">
            <v>650</v>
          </cell>
          <cell r="S30">
            <v>0</v>
          </cell>
          <cell r="T30">
            <v>0</v>
          </cell>
          <cell r="U30">
            <v>131.34</v>
          </cell>
          <cell r="V30">
            <v>0</v>
          </cell>
        </row>
        <row r="31">
          <cell r="P31">
            <v>169680.2999999998</v>
          </cell>
          <cell r="S31">
            <v>0</v>
          </cell>
          <cell r="T31">
            <v>0</v>
          </cell>
          <cell r="U31">
            <v>878.4</v>
          </cell>
          <cell r="V31">
            <v>658.8</v>
          </cell>
        </row>
        <row r="32">
          <cell r="C32">
            <v>0</v>
          </cell>
          <cell r="S32">
            <v>0</v>
          </cell>
          <cell r="T32">
            <v>0</v>
          </cell>
          <cell r="U32">
            <v>0</v>
          </cell>
          <cell r="V32">
            <v>0</v>
          </cell>
        </row>
        <row r="35">
          <cell r="C35">
            <v>133074.3</v>
          </cell>
          <cell r="D35">
            <v>87263.13</v>
          </cell>
          <cell r="L35">
            <v>53280</v>
          </cell>
          <cell r="N35">
            <v>8466</v>
          </cell>
          <cell r="O35">
            <v>0</v>
          </cell>
          <cell r="P35">
            <v>39575</v>
          </cell>
          <cell r="Q35">
            <v>560</v>
          </cell>
          <cell r="R35">
            <v>528</v>
          </cell>
          <cell r="S35">
            <v>18357.329999999998</v>
          </cell>
          <cell r="T35">
            <v>8721</v>
          </cell>
          <cell r="U35">
            <v>2003.92</v>
          </cell>
          <cell r="V35">
            <v>1502.9399999999998</v>
          </cell>
        </row>
        <row r="36">
          <cell r="C36">
            <v>124321.76</v>
          </cell>
          <cell r="D36">
            <v>82310.19</v>
          </cell>
          <cell r="L36">
            <v>37620</v>
          </cell>
          <cell r="N36">
            <v>7206</v>
          </cell>
          <cell r="O36">
            <v>9900</v>
          </cell>
          <cell r="P36">
            <v>17250</v>
          </cell>
          <cell r="Q36">
            <v>560</v>
          </cell>
          <cell r="S36">
            <v>13286.49</v>
          </cell>
          <cell r="T36">
            <v>6312</v>
          </cell>
          <cell r="U36">
            <v>1417.02</v>
          </cell>
          <cell r="V36">
            <v>1062.7649999999999</v>
          </cell>
        </row>
        <row r="37">
          <cell r="C37">
            <v>849749.95</v>
          </cell>
          <cell r="D37">
            <v>590487.43</v>
          </cell>
          <cell r="L37">
            <v>343530</v>
          </cell>
          <cell r="N37">
            <v>97038</v>
          </cell>
          <cell r="O37">
            <v>83100</v>
          </cell>
          <cell r="P37">
            <v>132000</v>
          </cell>
          <cell r="Q37">
            <v>12480</v>
          </cell>
          <cell r="R37">
            <v>2016</v>
          </cell>
          <cell r="S37">
            <v>146911.67999999993</v>
          </cell>
          <cell r="T37">
            <v>58920</v>
          </cell>
          <cell r="U37">
            <v>12805.860000000002</v>
          </cell>
          <cell r="V37">
            <v>9604.394999999999</v>
          </cell>
        </row>
        <row r="38">
          <cell r="C38">
            <v>495072.23</v>
          </cell>
          <cell r="D38">
            <v>401425.14</v>
          </cell>
          <cell r="L38">
            <v>199800</v>
          </cell>
          <cell r="N38">
            <v>63120</v>
          </cell>
          <cell r="O38">
            <v>0</v>
          </cell>
          <cell r="P38">
            <v>23125</v>
          </cell>
          <cell r="Q38">
            <v>13440</v>
          </cell>
          <cell r="S38">
            <v>124691.69999999995</v>
          </cell>
          <cell r="T38">
            <v>1488</v>
          </cell>
          <cell r="U38">
            <v>4779.899999999998</v>
          </cell>
          <cell r="V38">
            <v>3584.9249999999997</v>
          </cell>
        </row>
        <row r="39">
          <cell r="C39">
            <v>36352.64</v>
          </cell>
          <cell r="D39">
            <v>6192</v>
          </cell>
          <cell r="L39">
            <v>4500</v>
          </cell>
          <cell r="N39">
            <v>1692</v>
          </cell>
          <cell r="O39">
            <v>0</v>
          </cell>
          <cell r="P39">
            <v>750</v>
          </cell>
          <cell r="S39">
            <v>0</v>
          </cell>
          <cell r="T39">
            <v>0</v>
          </cell>
          <cell r="U39">
            <v>131.34</v>
          </cell>
          <cell r="V39">
            <v>0</v>
          </cell>
        </row>
        <row r="40">
          <cell r="P40">
            <v>169680.2999999998</v>
          </cell>
          <cell r="S40">
            <v>0</v>
          </cell>
          <cell r="T40">
            <v>0</v>
          </cell>
          <cell r="U40">
            <v>540.8</v>
          </cell>
          <cell r="V40">
            <v>405.59999999999997</v>
          </cell>
        </row>
        <row r="41">
          <cell r="C41">
            <v>0</v>
          </cell>
          <cell r="S41">
            <v>0</v>
          </cell>
          <cell r="T41">
            <v>0</v>
          </cell>
          <cell r="U41">
            <v>0</v>
          </cell>
          <cell r="V41">
            <v>0</v>
          </cell>
        </row>
        <row r="44">
          <cell r="C44">
            <v>129964.3</v>
          </cell>
          <cell r="E44">
            <v>87863.13</v>
          </cell>
          <cell r="L44">
            <v>53280</v>
          </cell>
          <cell r="N44">
            <v>6666</v>
          </cell>
          <cell r="O44">
            <v>0</v>
          </cell>
          <cell r="P44">
            <v>39575</v>
          </cell>
          <cell r="Q44">
            <v>1440</v>
          </cell>
          <cell r="R44">
            <v>528</v>
          </cell>
          <cell r="S44">
            <v>18357.329999999998</v>
          </cell>
          <cell r="T44">
            <v>8721</v>
          </cell>
          <cell r="U44">
            <v>2003.92</v>
          </cell>
          <cell r="V44">
            <v>1502.9399999999998</v>
          </cell>
        </row>
        <row r="45">
          <cell r="C45">
            <v>119961.76</v>
          </cell>
          <cell r="E45">
            <v>79510.41</v>
          </cell>
          <cell r="L45">
            <v>37620</v>
          </cell>
          <cell r="N45">
            <v>5406</v>
          </cell>
          <cell r="O45">
            <v>9900</v>
          </cell>
          <cell r="P45">
            <v>17250</v>
          </cell>
          <cell r="Q45">
            <v>1440</v>
          </cell>
          <cell r="S45">
            <v>13286.49</v>
          </cell>
          <cell r="T45">
            <v>6312</v>
          </cell>
          <cell r="U45">
            <v>1417.02</v>
          </cell>
          <cell r="V45">
            <v>1062.7649999999999</v>
          </cell>
        </row>
        <row r="46">
          <cell r="C46">
            <v>800349.95</v>
          </cell>
          <cell r="E46">
            <v>585084.25</v>
          </cell>
          <cell r="L46">
            <v>343530</v>
          </cell>
          <cell r="N46">
            <v>72438</v>
          </cell>
          <cell r="O46">
            <v>83100</v>
          </cell>
          <cell r="P46">
            <v>132000</v>
          </cell>
          <cell r="Q46">
            <v>12480</v>
          </cell>
          <cell r="R46">
            <v>2016</v>
          </cell>
          <cell r="S46">
            <v>146911.67999999993</v>
          </cell>
          <cell r="T46">
            <v>58920</v>
          </cell>
          <cell r="U46">
            <v>12805.860000000002</v>
          </cell>
          <cell r="V46">
            <v>9604.394999999999</v>
          </cell>
        </row>
        <row r="47">
          <cell r="C47">
            <v>448222.23</v>
          </cell>
          <cell r="E47">
            <v>420606.81999999995</v>
          </cell>
          <cell r="L47">
            <v>199800</v>
          </cell>
          <cell r="N47">
            <v>45120</v>
          </cell>
          <cell r="O47">
            <v>0</v>
          </cell>
          <cell r="P47">
            <v>23125</v>
          </cell>
          <cell r="Q47">
            <v>13440</v>
          </cell>
          <cell r="S47">
            <v>124691.69999999995</v>
          </cell>
          <cell r="T47">
            <v>1488</v>
          </cell>
          <cell r="U47">
            <v>4779.899999999998</v>
          </cell>
          <cell r="V47">
            <v>3584.9249999999997</v>
          </cell>
        </row>
        <row r="48">
          <cell r="C48">
            <v>35102.64</v>
          </cell>
          <cell r="E48">
            <v>5893</v>
          </cell>
          <cell r="L48">
            <v>4500</v>
          </cell>
          <cell r="N48">
            <v>1092</v>
          </cell>
          <cell r="O48">
            <v>0</v>
          </cell>
          <cell r="P48">
            <v>750</v>
          </cell>
          <cell r="S48">
            <v>0</v>
          </cell>
          <cell r="T48">
            <v>0</v>
          </cell>
          <cell r="U48">
            <v>131.34</v>
          </cell>
          <cell r="V48">
            <v>0</v>
          </cell>
        </row>
        <row r="49">
          <cell r="P49">
            <v>169680.2999999998</v>
          </cell>
          <cell r="S49">
            <v>0</v>
          </cell>
          <cell r="T49">
            <v>0</v>
          </cell>
          <cell r="U49">
            <v>576</v>
          </cell>
          <cell r="V49">
            <v>432</v>
          </cell>
        </row>
        <row r="50">
          <cell r="C50">
            <v>0</v>
          </cell>
          <cell r="S50">
            <v>0</v>
          </cell>
          <cell r="T50">
            <v>0</v>
          </cell>
          <cell r="U50">
            <v>0</v>
          </cell>
          <cell r="V50">
            <v>0</v>
          </cell>
        </row>
      </sheetData>
      <sheetData sheetId="2">
        <row r="8">
          <cell r="B8">
            <v>3</v>
          </cell>
          <cell r="C8">
            <v>3</v>
          </cell>
          <cell r="D8">
            <v>3</v>
          </cell>
          <cell r="E8">
            <v>3</v>
          </cell>
          <cell r="F8">
            <v>3</v>
          </cell>
          <cell r="G8">
            <v>3</v>
          </cell>
          <cell r="H8">
            <v>3</v>
          </cell>
          <cell r="I8">
            <v>3</v>
          </cell>
        </row>
        <row r="9">
          <cell r="B9">
            <v>4</v>
          </cell>
          <cell r="C9">
            <v>4</v>
          </cell>
          <cell r="D9">
            <v>4</v>
          </cell>
          <cell r="E9">
            <v>4</v>
          </cell>
          <cell r="F9">
            <v>3</v>
          </cell>
          <cell r="G9">
            <v>3</v>
          </cell>
          <cell r="H9">
            <v>3</v>
          </cell>
          <cell r="I9">
            <v>3</v>
          </cell>
        </row>
        <row r="10">
          <cell r="B10">
            <v>37</v>
          </cell>
          <cell r="C10">
            <v>37</v>
          </cell>
          <cell r="D10">
            <v>37</v>
          </cell>
          <cell r="E10">
            <v>37</v>
          </cell>
          <cell r="F10">
            <v>41</v>
          </cell>
          <cell r="G10">
            <v>41</v>
          </cell>
          <cell r="H10">
            <v>41</v>
          </cell>
          <cell r="I10">
            <v>41</v>
          </cell>
        </row>
        <row r="11">
          <cell r="B11">
            <v>37</v>
          </cell>
          <cell r="C11">
            <v>37</v>
          </cell>
          <cell r="D11">
            <v>37</v>
          </cell>
          <cell r="E11">
            <v>37</v>
          </cell>
          <cell r="F11">
            <v>35</v>
          </cell>
          <cell r="G11">
            <v>35</v>
          </cell>
          <cell r="H11">
            <v>35</v>
          </cell>
          <cell r="I11">
            <v>35</v>
          </cell>
        </row>
        <row r="12">
          <cell r="B12">
            <v>1</v>
          </cell>
          <cell r="C12">
            <v>1</v>
          </cell>
          <cell r="D12">
            <v>1</v>
          </cell>
          <cell r="F12">
            <v>1</v>
          </cell>
          <cell r="G12">
            <v>1</v>
          </cell>
          <cell r="H12">
            <v>1</v>
          </cell>
        </row>
      </sheetData>
      <sheetData sheetId="3">
        <row r="5">
          <cell r="F5">
            <v>0</v>
          </cell>
        </row>
      </sheetData>
      <sheetData sheetId="5">
        <row r="7">
          <cell r="B7">
            <v>0</v>
          </cell>
          <cell r="C7">
            <v>0</v>
          </cell>
          <cell r="H7">
            <v>87090</v>
          </cell>
        </row>
        <row r="8">
          <cell r="B8">
            <v>1290000</v>
          </cell>
          <cell r="C8">
            <v>75000</v>
          </cell>
          <cell r="D8">
            <v>124900</v>
          </cell>
          <cell r="I8">
            <v>63750</v>
          </cell>
          <cell r="J8">
            <v>63750</v>
          </cell>
          <cell r="M8" t="str">
            <v>电动三轮保洁车17辆，每辆7500，</v>
          </cell>
        </row>
        <row r="9">
          <cell r="B9">
            <v>0</v>
          </cell>
          <cell r="C9">
            <v>0</v>
          </cell>
        </row>
        <row r="10">
          <cell r="B10">
            <v>0</v>
          </cell>
          <cell r="C10">
            <v>0</v>
          </cell>
        </row>
        <row r="11">
          <cell r="B11">
            <v>0</v>
          </cell>
        </row>
        <row r="12">
          <cell r="C12">
            <v>18000</v>
          </cell>
          <cell r="D12">
            <v>0</v>
          </cell>
        </row>
        <row r="13">
          <cell r="B13">
            <v>0</v>
          </cell>
        </row>
        <row r="14">
          <cell r="B14">
            <v>0</v>
          </cell>
        </row>
        <row r="15">
          <cell r="B15">
            <v>0</v>
          </cell>
        </row>
        <row r="16">
          <cell r="B16">
            <v>0</v>
          </cell>
        </row>
        <row r="17">
          <cell r="B17">
            <v>0</v>
          </cell>
        </row>
        <row r="18">
          <cell r="C18">
            <v>18000</v>
          </cell>
        </row>
        <row r="19">
          <cell r="B19">
            <v>0</v>
          </cell>
          <cell r="H19">
            <v>33410</v>
          </cell>
          <cell r="I19">
            <v>16000</v>
          </cell>
        </row>
        <row r="20">
          <cell r="B20">
            <v>0</v>
          </cell>
          <cell r="C20">
            <v>0</v>
          </cell>
          <cell r="D20">
            <v>0</v>
          </cell>
          <cell r="H20">
            <v>0</v>
          </cell>
          <cell r="I20">
            <v>110510</v>
          </cell>
          <cell r="J20">
            <v>98210</v>
          </cell>
          <cell r="K20">
            <v>0</v>
          </cell>
        </row>
        <row r="25">
          <cell r="A25" t="str">
            <v>    环卫设施</v>
          </cell>
          <cell r="I25">
            <v>90000</v>
          </cell>
          <cell r="J25">
            <v>78000</v>
          </cell>
          <cell r="M25" t="str">
            <v>垃圾桶163个，每个1300，垃圾盖80个，每个150元</v>
          </cell>
        </row>
        <row r="26">
          <cell r="A26" t="str">
            <v>    环卫工具</v>
          </cell>
          <cell r="B26">
            <v>0</v>
          </cell>
          <cell r="C26">
            <v>0</v>
          </cell>
          <cell r="D26">
            <v>0</v>
          </cell>
        </row>
        <row r="27">
          <cell r="A27" t="str">
            <v>网漏</v>
          </cell>
          <cell r="I27">
            <v>300</v>
          </cell>
        </row>
        <row r="28">
          <cell r="A28" t="str">
            <v>大、小扫帚</v>
          </cell>
          <cell r="I28">
            <v>3135</v>
          </cell>
          <cell r="J28">
            <v>3135</v>
          </cell>
        </row>
        <row r="29">
          <cell r="A29" t="str">
            <v>耙、铲和锄头</v>
          </cell>
          <cell r="I29">
            <v>476</v>
          </cell>
          <cell r="J29">
            <v>476</v>
          </cell>
        </row>
        <row r="30">
          <cell r="A30" t="str">
            <v>勾刀</v>
          </cell>
          <cell r="I30">
            <v>300</v>
          </cell>
          <cell r="J30">
            <v>300</v>
          </cell>
        </row>
        <row r="31">
          <cell r="A31" t="str">
            <v>镰刀</v>
          </cell>
          <cell r="I31">
            <v>255</v>
          </cell>
          <cell r="J31">
            <v>255</v>
          </cell>
        </row>
        <row r="32">
          <cell r="A32" t="str">
            <v>垃圾斗</v>
          </cell>
          <cell r="I32">
            <v>238</v>
          </cell>
          <cell r="J32">
            <v>238</v>
          </cell>
        </row>
        <row r="33">
          <cell r="A33" t="str">
            <v>胶扫帚</v>
          </cell>
          <cell r="I33">
            <v>476</v>
          </cell>
          <cell r="J33">
            <v>476</v>
          </cell>
        </row>
        <row r="34">
          <cell r="A34" t="str">
            <v>藤扫把</v>
          </cell>
          <cell r="I34">
            <v>680</v>
          </cell>
          <cell r="J34">
            <v>680</v>
          </cell>
        </row>
        <row r="35">
          <cell r="A35" t="str">
            <v>垃圾夹子</v>
          </cell>
          <cell r="I35">
            <v>1000</v>
          </cell>
          <cell r="J35">
            <v>1000</v>
          </cell>
        </row>
        <row r="36">
          <cell r="A36" t="str">
            <v>喷药器</v>
          </cell>
          <cell r="I36">
            <v>10000</v>
          </cell>
          <cell r="J36">
            <v>10000</v>
          </cell>
        </row>
        <row r="37">
          <cell r="A37" t="str">
            <v>杀草剂</v>
          </cell>
          <cell r="I37">
            <v>250</v>
          </cell>
          <cell r="J37">
            <v>250</v>
          </cell>
        </row>
        <row r="38">
          <cell r="A38" t="str">
            <v>大垃圾袋</v>
          </cell>
          <cell r="I38">
            <v>3400</v>
          </cell>
          <cell r="J38">
            <v>3400</v>
          </cell>
        </row>
      </sheetData>
      <sheetData sheetId="6">
        <row r="7">
          <cell r="B7">
            <v>0</v>
          </cell>
        </row>
        <row r="8">
          <cell r="B8">
            <v>0</v>
          </cell>
        </row>
        <row r="10">
          <cell r="B10">
            <v>0</v>
          </cell>
        </row>
      </sheetData>
      <sheetData sheetId="8">
        <row r="8">
          <cell r="F8">
            <v>125120</v>
          </cell>
          <cell r="G8">
            <v>6256</v>
          </cell>
          <cell r="J8">
            <v>5100</v>
          </cell>
        </row>
      </sheetData>
      <sheetData sheetId="11">
        <row r="22">
          <cell r="B22" t="str">
            <v>琼A38986</v>
          </cell>
          <cell r="C22" t="str">
            <v>LGAX2A120E1092854</v>
          </cell>
          <cell r="D22" t="str">
            <v>4500ml</v>
          </cell>
          <cell r="E22" t="str">
            <v>2014.12.02</v>
          </cell>
          <cell r="F22">
            <v>1</v>
          </cell>
          <cell r="H22" t="str">
            <v>农场调入</v>
          </cell>
        </row>
        <row r="23">
          <cell r="B23" t="str">
            <v>琼A38982</v>
          </cell>
          <cell r="C23" t="str">
            <v>ZJV5121ZYSHBE</v>
          </cell>
          <cell r="D23" t="str">
            <v>4500ml</v>
          </cell>
          <cell r="E23" t="str">
            <v>2014.12.02</v>
          </cell>
          <cell r="F23">
            <v>1</v>
          </cell>
          <cell r="H23" t="str">
            <v>农场调入</v>
          </cell>
        </row>
        <row r="24">
          <cell r="B24" t="str">
            <v>琼A70180</v>
          </cell>
          <cell r="C24" t="str">
            <v>CLW5160ZYSD5</v>
          </cell>
          <cell r="D24" t="str">
            <v>5900ml</v>
          </cell>
          <cell r="E24" t="str">
            <v>2019.04.15</v>
          </cell>
          <cell r="F24">
            <v>1</v>
          </cell>
          <cell r="G24">
            <v>487696.64</v>
          </cell>
          <cell r="H24" t="str">
            <v>压缩式垃圾车</v>
          </cell>
        </row>
        <row r="25">
          <cell r="B25" t="str">
            <v>琼A71766</v>
          </cell>
          <cell r="C25" t="str">
            <v>CLW5071GQXE5</v>
          </cell>
          <cell r="D25" t="str">
            <v>2982ml</v>
          </cell>
          <cell r="E25" t="str">
            <v>2017.12.27</v>
          </cell>
          <cell r="F25">
            <v>1</v>
          </cell>
          <cell r="G25">
            <v>298541</v>
          </cell>
          <cell r="H25" t="str">
            <v>清洗车</v>
          </cell>
        </row>
        <row r="26">
          <cell r="B26" t="str">
            <v>琼A71771</v>
          </cell>
          <cell r="C26" t="str">
            <v>CSC5161GPSD5</v>
          </cell>
          <cell r="D26" t="str">
            <v>5900ml</v>
          </cell>
          <cell r="E26" t="str">
            <v>2017.12.26</v>
          </cell>
          <cell r="F26">
            <v>1</v>
          </cell>
          <cell r="G26">
            <v>386898</v>
          </cell>
          <cell r="H26" t="str">
            <v>绿化喷洒车</v>
          </cell>
        </row>
        <row r="27">
          <cell r="B27" t="str">
            <v>琼AZH862</v>
          </cell>
          <cell r="C27" t="str">
            <v>BJ6526MD5VA-XB</v>
          </cell>
          <cell r="D27" t="str">
            <v>1995ml</v>
          </cell>
          <cell r="E27" t="str">
            <v>2015.10.30</v>
          </cell>
          <cell r="F27">
            <v>1</v>
          </cell>
          <cell r="G27">
            <v>108118</v>
          </cell>
          <cell r="H27" t="str">
            <v>环境卫生部门使用、记入社会性资产，一次性提折旧</v>
          </cell>
        </row>
        <row r="28">
          <cell r="B28" t="str">
            <v>琼AOS862</v>
          </cell>
          <cell r="C28" t="str">
            <v>BJ1037V3MD6</v>
          </cell>
          <cell r="D28" t="str">
            <v>1995ml</v>
          </cell>
          <cell r="E28" t="str">
            <v>2015.09.23</v>
          </cell>
          <cell r="F28">
            <v>1</v>
          </cell>
          <cell r="G28">
            <v>156078</v>
          </cell>
          <cell r="H28" t="str">
            <v>记入社会性资产，一次性提折旧（办公室使用）</v>
          </cell>
        </row>
        <row r="29">
          <cell r="B29" t="str">
            <v>琼A2T367</v>
          </cell>
          <cell r="C29" t="str">
            <v>CAF6450A54</v>
          </cell>
          <cell r="D29" t="str">
            <v>1499ml</v>
          </cell>
          <cell r="E29" t="str">
            <v>2016.01.14</v>
          </cell>
          <cell r="F29">
            <v>1</v>
          </cell>
          <cell r="G29">
            <v>191223</v>
          </cell>
          <cell r="H29" t="str">
            <v>记入社会性资产，一次性提折旧</v>
          </cell>
        </row>
        <row r="30">
          <cell r="B30" t="str">
            <v>电动三轮保洁车</v>
          </cell>
          <cell r="E30" t="str">
            <v>2018.1.31</v>
          </cell>
          <cell r="F30">
            <v>17</v>
          </cell>
          <cell r="G30">
            <v>125120</v>
          </cell>
          <cell r="H30" t="str">
            <v>预算在第二季度全部报废</v>
          </cell>
        </row>
        <row r="31">
          <cell r="B31" t="str">
            <v>电动三轮保洁车</v>
          </cell>
          <cell r="E31" t="str">
            <v>2022.5.01</v>
          </cell>
          <cell r="F31">
            <v>10</v>
          </cell>
          <cell r="G31">
            <v>72815.53</v>
          </cell>
          <cell r="H31" t="str">
            <v>报废旧的更换新的</v>
          </cell>
        </row>
        <row r="32">
          <cell r="B32" t="str">
            <v>多功能电动清洗三轮车</v>
          </cell>
          <cell r="E32" t="str">
            <v>2022.10.31</v>
          </cell>
          <cell r="F32">
            <v>5</v>
          </cell>
          <cell r="G32">
            <v>121262.13</v>
          </cell>
        </row>
      </sheetData>
      <sheetData sheetId="12">
        <row r="10">
          <cell r="B10">
            <v>7195471.69</v>
          </cell>
          <cell r="C10">
            <v>4940425.5</v>
          </cell>
          <cell r="D10">
            <v>448062.88</v>
          </cell>
          <cell r="H10">
            <v>1300827.7358490566</v>
          </cell>
          <cell r="I10">
            <v>1315281.3773584906</v>
          </cell>
          <cell r="J10">
            <v>1329735.0188679246</v>
          </cell>
          <cell r="K10">
            <v>1336527.0188679246</v>
          </cell>
        </row>
        <row r="11">
          <cell r="B11">
            <v>311320.72</v>
          </cell>
          <cell r="C11">
            <v>259291.91</v>
          </cell>
          <cell r="H11">
            <v>169680.3</v>
          </cell>
          <cell r="I11">
            <v>169680.2999999998</v>
          </cell>
          <cell r="J11">
            <v>169680.2999999998</v>
          </cell>
          <cell r="K11">
            <v>169680.2999999998</v>
          </cell>
        </row>
        <row r="15">
          <cell r="B15">
            <v>1009433.96</v>
          </cell>
          <cell r="C15">
            <v>2124468.85</v>
          </cell>
          <cell r="D15">
            <v>142520.15</v>
          </cell>
          <cell r="H15">
            <v>566037.7358490566</v>
          </cell>
          <cell r="I15">
            <v>566037.7358490566</v>
          </cell>
          <cell r="J15">
            <v>566037.7358490566</v>
          </cell>
          <cell r="K15">
            <v>566037.7358490566</v>
          </cell>
        </row>
        <row r="17">
          <cell r="H17">
            <v>143396.22641509434</v>
          </cell>
        </row>
        <row r="18">
          <cell r="H18">
            <v>76314.6037735849</v>
          </cell>
          <cell r="I18">
            <v>76314.6037735849</v>
          </cell>
          <cell r="J18">
            <v>76314.6037735849</v>
          </cell>
          <cell r="K18">
            <v>76314.6037735849</v>
          </cell>
        </row>
        <row r="29">
          <cell r="B29">
            <v>4632483.2399999965</v>
          </cell>
          <cell r="C29">
            <v>3506806.1999999997</v>
          </cell>
          <cell r="D29">
            <v>274162.62</v>
          </cell>
          <cell r="H29">
            <v>849048.1724537816</v>
          </cell>
          <cell r="I29">
            <v>983230.4100000001</v>
          </cell>
          <cell r="J29">
            <v>1137509.885</v>
          </cell>
          <cell r="K29">
            <v>1015299.885</v>
          </cell>
        </row>
        <row r="30">
          <cell r="B30">
            <v>229930.08</v>
          </cell>
          <cell r="C30">
            <v>212267.99</v>
          </cell>
          <cell r="D30">
            <v>13345</v>
          </cell>
        </row>
        <row r="32">
          <cell r="B32">
            <v>0</v>
          </cell>
        </row>
        <row r="34">
          <cell r="B34">
            <v>1080230.4200000002</v>
          </cell>
          <cell r="C34">
            <v>984459.7999999999</v>
          </cell>
          <cell r="D34">
            <v>77778.03</v>
          </cell>
          <cell r="H34">
            <v>562382.6675</v>
          </cell>
          <cell r="I34">
            <v>597342.6675</v>
          </cell>
          <cell r="J34">
            <v>583102.6675</v>
          </cell>
          <cell r="K34">
            <v>570142.6675</v>
          </cell>
        </row>
        <row r="35">
          <cell r="B35">
            <v>0</v>
          </cell>
          <cell r="C35">
            <v>174426.07</v>
          </cell>
          <cell r="D35">
            <v>30000</v>
          </cell>
        </row>
        <row r="36">
          <cell r="B36">
            <v>0</v>
          </cell>
          <cell r="C36">
            <v>379074.31</v>
          </cell>
          <cell r="D36">
            <v>24899.760000000002</v>
          </cell>
          <cell r="H36">
            <v>141652.14</v>
          </cell>
          <cell r="I36">
            <v>0</v>
          </cell>
          <cell r="J36">
            <v>0</v>
          </cell>
          <cell r="K36">
            <v>0</v>
          </cell>
        </row>
        <row r="37">
          <cell r="H37">
            <v>70083.6</v>
          </cell>
          <cell r="I37">
            <v>70083.6</v>
          </cell>
          <cell r="J37">
            <v>70083.6</v>
          </cell>
          <cell r="K37">
            <v>70083.6</v>
          </cell>
        </row>
      </sheetData>
      <sheetData sheetId="18">
        <row r="9">
          <cell r="B9">
            <v>1436040</v>
          </cell>
          <cell r="C9">
            <v>1151186.25</v>
          </cell>
          <cell r="D9">
            <v>54910</v>
          </cell>
          <cell r="H9">
            <v>257790</v>
          </cell>
          <cell r="I9">
            <v>257790</v>
          </cell>
          <cell r="J9">
            <v>257790</v>
          </cell>
          <cell r="K9">
            <v>257790</v>
          </cell>
        </row>
        <row r="10">
          <cell r="B10">
            <v>533200</v>
          </cell>
          <cell r="C10">
            <v>459407</v>
          </cell>
          <cell r="D10">
            <v>42011</v>
          </cell>
        </row>
        <row r="11">
          <cell r="J11">
            <v>168666.34999999998</v>
          </cell>
          <cell r="K11">
            <v>168666.34999999998</v>
          </cell>
        </row>
        <row r="12">
          <cell r="B12">
            <v>163200</v>
          </cell>
          <cell r="C12">
            <v>148800</v>
          </cell>
          <cell r="D12">
            <v>13600</v>
          </cell>
          <cell r="H12">
            <v>25500</v>
          </cell>
          <cell r="I12">
            <v>25500</v>
          </cell>
          <cell r="J12">
            <v>25500</v>
          </cell>
          <cell r="K12">
            <v>25500</v>
          </cell>
        </row>
        <row r="13">
          <cell r="B13">
            <v>370000</v>
          </cell>
          <cell r="C13">
            <v>310607</v>
          </cell>
          <cell r="D13">
            <v>28411</v>
          </cell>
          <cell r="H13">
            <v>61750</v>
          </cell>
          <cell r="I13">
            <v>61750</v>
          </cell>
          <cell r="J13">
            <v>61750</v>
          </cell>
          <cell r="K13">
            <v>61750</v>
          </cell>
        </row>
        <row r="14">
          <cell r="B14">
            <v>391368</v>
          </cell>
          <cell r="C14">
            <v>184460</v>
          </cell>
          <cell r="D14">
            <v>6320</v>
          </cell>
          <cell r="H14">
            <v>45450</v>
          </cell>
          <cell r="I14">
            <v>81450</v>
          </cell>
          <cell r="J14">
            <v>81450</v>
          </cell>
          <cell r="K14">
            <v>57450</v>
          </cell>
        </row>
        <row r="15">
          <cell r="B15">
            <v>134400</v>
          </cell>
          <cell r="C15">
            <v>71839.2</v>
          </cell>
          <cell r="D15">
            <v>15460</v>
          </cell>
          <cell r="H15">
            <v>29440</v>
          </cell>
          <cell r="I15">
            <v>29440</v>
          </cell>
          <cell r="J15">
            <v>29440</v>
          </cell>
          <cell r="K15">
            <v>29440</v>
          </cell>
        </row>
        <row r="17">
          <cell r="C17">
            <v>107184</v>
          </cell>
          <cell r="D17">
            <v>12144</v>
          </cell>
          <cell r="H17">
            <v>1008</v>
          </cell>
          <cell r="I17">
            <v>1008</v>
          </cell>
          <cell r="J17">
            <v>1008</v>
          </cell>
          <cell r="K17">
            <v>1008</v>
          </cell>
        </row>
        <row r="18">
          <cell r="B18">
            <v>32330</v>
          </cell>
          <cell r="C18">
            <v>22520</v>
          </cell>
          <cell r="I18">
            <v>30550</v>
          </cell>
        </row>
        <row r="19">
          <cell r="B19">
            <v>77436</v>
          </cell>
          <cell r="C19">
            <v>32456</v>
          </cell>
          <cell r="H19">
            <v>25000</v>
          </cell>
        </row>
        <row r="21">
          <cell r="B21">
            <v>680460.72</v>
          </cell>
          <cell r="C21">
            <v>531598.07</v>
          </cell>
          <cell r="D21">
            <v>53192.55</v>
          </cell>
          <cell r="H21">
            <v>143438.75999999995</v>
          </cell>
          <cell r="I21">
            <v>143438.75999999995</v>
          </cell>
          <cell r="J21">
            <v>143438.75999999995</v>
          </cell>
          <cell r="K21">
            <v>143438.75999999995</v>
          </cell>
        </row>
        <row r="22">
          <cell r="B22">
            <v>85314.12</v>
          </cell>
          <cell r="C22">
            <v>79325.99</v>
          </cell>
          <cell r="D22">
            <v>8828.07</v>
          </cell>
          <cell r="H22">
            <v>22936.260000000013</v>
          </cell>
          <cell r="I22">
            <v>22936.260000000013</v>
          </cell>
          <cell r="J22">
            <v>22936.260000000013</v>
          </cell>
          <cell r="K22">
            <v>22936.260000000013</v>
          </cell>
        </row>
        <row r="23">
          <cell r="B23">
            <v>103500</v>
          </cell>
          <cell r="C23">
            <v>95187</v>
          </cell>
          <cell r="D23">
            <v>8697</v>
          </cell>
          <cell r="H23">
            <v>18474</v>
          </cell>
          <cell r="I23">
            <v>18474</v>
          </cell>
          <cell r="J23">
            <v>18474</v>
          </cell>
          <cell r="K23">
            <v>18474</v>
          </cell>
        </row>
        <row r="24">
          <cell r="B24">
            <v>35841.12</v>
          </cell>
          <cell r="H24">
            <v>3086.1749999999965</v>
          </cell>
          <cell r="I24">
            <v>3086.1749999999965</v>
          </cell>
          <cell r="J24">
            <v>3086.1749999999965</v>
          </cell>
          <cell r="K24">
            <v>3086.1749999999965</v>
          </cell>
        </row>
        <row r="25">
          <cell r="B25">
            <v>47788.16</v>
          </cell>
          <cell r="H25">
            <v>8229.800000000008</v>
          </cell>
          <cell r="I25">
            <v>8229.800000000008</v>
          </cell>
          <cell r="J25">
            <v>8229.800000000008</v>
          </cell>
          <cell r="K25">
            <v>8229.800000000008</v>
          </cell>
        </row>
        <row r="26">
          <cell r="B26">
            <v>155625</v>
          </cell>
          <cell r="C26">
            <v>150165.98</v>
          </cell>
          <cell r="H26">
            <v>50000</v>
          </cell>
          <cell r="I26">
            <v>50000</v>
          </cell>
          <cell r="J26">
            <v>50000</v>
          </cell>
          <cell r="K26">
            <v>50000</v>
          </cell>
        </row>
        <row r="28">
          <cell r="C28">
            <v>160167.44</v>
          </cell>
          <cell r="D28">
            <v>23000</v>
          </cell>
          <cell r="H28">
            <v>53000</v>
          </cell>
          <cell r="I28">
            <v>53000</v>
          </cell>
          <cell r="J28">
            <v>53000</v>
          </cell>
          <cell r="K28">
            <v>53000</v>
          </cell>
        </row>
        <row r="29">
          <cell r="C29">
            <v>23232.51</v>
          </cell>
          <cell r="J29">
            <v>24750</v>
          </cell>
          <cell r="K29">
            <v>24750</v>
          </cell>
        </row>
        <row r="30">
          <cell r="C30">
            <v>26344.99</v>
          </cell>
          <cell r="D30">
            <v>25200</v>
          </cell>
          <cell r="H30">
            <v>33040</v>
          </cell>
          <cell r="I30">
            <v>33040</v>
          </cell>
          <cell r="J30">
            <v>31600</v>
          </cell>
          <cell r="K30">
            <v>31600</v>
          </cell>
        </row>
        <row r="33">
          <cell r="B33">
            <v>2000</v>
          </cell>
          <cell r="C33">
            <v>1404</v>
          </cell>
          <cell r="D33">
            <v>700</v>
          </cell>
        </row>
        <row r="34">
          <cell r="B34">
            <v>2000</v>
          </cell>
          <cell r="C34">
            <v>56</v>
          </cell>
        </row>
        <row r="35">
          <cell r="H35">
            <v>2750</v>
          </cell>
          <cell r="I35">
            <v>2750</v>
          </cell>
          <cell r="J35">
            <v>2750</v>
          </cell>
          <cell r="K35">
            <v>2750</v>
          </cell>
        </row>
        <row r="39">
          <cell r="C39">
            <v>170</v>
          </cell>
        </row>
        <row r="40">
          <cell r="C40">
            <v>18818</v>
          </cell>
          <cell r="H40">
            <v>6145</v>
          </cell>
          <cell r="I40">
            <v>6145</v>
          </cell>
          <cell r="J40">
            <v>6145</v>
          </cell>
          <cell r="K40">
            <v>6145</v>
          </cell>
        </row>
        <row r="42">
          <cell r="B42">
            <v>2500</v>
          </cell>
          <cell r="C42">
            <v>920</v>
          </cell>
        </row>
        <row r="44">
          <cell r="B44">
            <v>279773.12</v>
          </cell>
          <cell r="C44">
            <v>218905.37</v>
          </cell>
          <cell r="D44">
            <v>23700</v>
          </cell>
          <cell r="H44">
            <v>62010.17745378151</v>
          </cell>
          <cell r="I44">
            <v>44132.415</v>
          </cell>
          <cell r="J44">
            <v>49285.54</v>
          </cell>
          <cell r="K44">
            <v>49285.54</v>
          </cell>
        </row>
        <row r="45">
          <cell r="B45">
            <v>274037</v>
          </cell>
          <cell r="C45">
            <v>171458.4</v>
          </cell>
          <cell r="H45">
            <v>0</v>
          </cell>
          <cell r="I45">
            <v>110510</v>
          </cell>
          <cell r="J45">
            <v>98210</v>
          </cell>
          <cell r="K45">
            <v>0</v>
          </cell>
        </row>
      </sheetData>
      <sheetData sheetId="19">
        <row r="9">
          <cell r="C9">
            <v>29518</v>
          </cell>
          <cell r="H9">
            <v>10620</v>
          </cell>
          <cell r="I9">
            <v>10620</v>
          </cell>
          <cell r="J9">
            <v>10620</v>
          </cell>
          <cell r="K9">
            <v>10620</v>
          </cell>
        </row>
        <row r="10">
          <cell r="B10">
            <v>0</v>
          </cell>
          <cell r="C10">
            <v>19660</v>
          </cell>
          <cell r="D10">
            <v>0</v>
          </cell>
        </row>
        <row r="12">
          <cell r="C12">
            <v>3200</v>
          </cell>
          <cell r="H12">
            <v>2700</v>
          </cell>
          <cell r="I12">
            <v>2700</v>
          </cell>
          <cell r="J12">
            <v>2700</v>
          </cell>
          <cell r="K12">
            <v>2700</v>
          </cell>
        </row>
        <row r="13">
          <cell r="C13">
            <v>16460</v>
          </cell>
          <cell r="H13">
            <v>4000</v>
          </cell>
          <cell r="I13">
            <v>4000</v>
          </cell>
          <cell r="J13">
            <v>4000</v>
          </cell>
          <cell r="K13">
            <v>4000</v>
          </cell>
        </row>
        <row r="14">
          <cell r="C14">
            <v>3964</v>
          </cell>
          <cell r="H14">
            <v>1392</v>
          </cell>
          <cell r="I14">
            <v>2292</v>
          </cell>
          <cell r="J14">
            <v>2292</v>
          </cell>
          <cell r="K14">
            <v>1692</v>
          </cell>
        </row>
        <row r="15">
          <cell r="C15">
            <v>1280</v>
          </cell>
        </row>
        <row r="17">
          <cell r="C17">
            <v>2376</v>
          </cell>
        </row>
        <row r="18">
          <cell r="I18">
            <v>650</v>
          </cell>
        </row>
        <row r="19">
          <cell r="C19">
            <v>596</v>
          </cell>
        </row>
        <row r="21">
          <cell r="C21">
            <v>10793.02</v>
          </cell>
          <cell r="H21">
            <v>3829.2000000000003</v>
          </cell>
          <cell r="I21">
            <v>3829.2000000000003</v>
          </cell>
          <cell r="J21">
            <v>3829.2000000000003</v>
          </cell>
          <cell r="K21">
            <v>3829.2000000000003</v>
          </cell>
        </row>
        <row r="22">
          <cell r="H22">
            <v>0</v>
          </cell>
          <cell r="I22">
            <v>0</v>
          </cell>
          <cell r="J22">
            <v>0</v>
          </cell>
          <cell r="K22">
            <v>0</v>
          </cell>
        </row>
        <row r="23">
          <cell r="C23">
            <v>5050</v>
          </cell>
          <cell r="H23">
            <v>1818</v>
          </cell>
          <cell r="I23">
            <v>1818</v>
          </cell>
          <cell r="J23">
            <v>1818</v>
          </cell>
          <cell r="K23">
            <v>1818</v>
          </cell>
        </row>
        <row r="28">
          <cell r="C28">
            <v>42228.8</v>
          </cell>
          <cell r="D28">
            <v>20000</v>
          </cell>
          <cell r="H28">
            <v>22500</v>
          </cell>
          <cell r="I28">
            <v>22500</v>
          </cell>
          <cell r="J28">
            <v>22500</v>
          </cell>
          <cell r="K28">
            <v>22500</v>
          </cell>
        </row>
        <row r="29">
          <cell r="C29">
            <v>41270.11</v>
          </cell>
          <cell r="D29">
            <v>2000</v>
          </cell>
          <cell r="H29">
            <v>3000</v>
          </cell>
          <cell r="J29">
            <v>3000</v>
          </cell>
          <cell r="K29">
            <v>9000</v>
          </cell>
        </row>
        <row r="30">
          <cell r="C30">
            <v>15490.14</v>
          </cell>
          <cell r="D30">
            <v>5000</v>
          </cell>
          <cell r="H30">
            <v>5000</v>
          </cell>
          <cell r="I30">
            <v>5000</v>
          </cell>
          <cell r="J30">
            <v>5000</v>
          </cell>
          <cell r="K30">
            <v>5000</v>
          </cell>
        </row>
        <row r="31">
          <cell r="C31">
            <v>2200</v>
          </cell>
          <cell r="D31">
            <v>3000</v>
          </cell>
          <cell r="H31">
            <v>5150</v>
          </cell>
          <cell r="I31">
            <v>2700</v>
          </cell>
          <cell r="J31">
            <v>2850</v>
          </cell>
          <cell r="K31">
            <v>2700</v>
          </cell>
        </row>
        <row r="34">
          <cell r="H34">
            <v>280</v>
          </cell>
          <cell r="I34">
            <v>280</v>
          </cell>
          <cell r="J34">
            <v>280</v>
          </cell>
          <cell r="K34">
            <v>280</v>
          </cell>
        </row>
      </sheetData>
      <sheetData sheetId="20">
        <row r="9">
          <cell r="B9">
            <v>424080</v>
          </cell>
          <cell r="C9">
            <v>405559.96</v>
          </cell>
          <cell r="D9">
            <v>28440</v>
          </cell>
          <cell r="H9">
            <v>220440</v>
          </cell>
          <cell r="I9">
            <v>220440</v>
          </cell>
          <cell r="J9">
            <v>220440</v>
          </cell>
          <cell r="K9">
            <v>220440</v>
          </cell>
        </row>
        <row r="10">
          <cell r="B10">
            <v>236400</v>
          </cell>
          <cell r="C10">
            <v>209500</v>
          </cell>
          <cell r="D10">
            <v>14400</v>
          </cell>
        </row>
        <row r="12">
          <cell r="B12">
            <v>86400</v>
          </cell>
          <cell r="C12">
            <v>72000</v>
          </cell>
          <cell r="D12">
            <v>2400</v>
          </cell>
          <cell r="H12">
            <v>51000</v>
          </cell>
          <cell r="I12">
            <v>51000</v>
          </cell>
          <cell r="J12">
            <v>51000</v>
          </cell>
          <cell r="K12">
            <v>51000</v>
          </cell>
        </row>
        <row r="13">
          <cell r="B13">
            <v>150000</v>
          </cell>
          <cell r="C13">
            <v>137500</v>
          </cell>
          <cell r="D13">
            <v>12000</v>
          </cell>
          <cell r="H13">
            <v>84750</v>
          </cell>
          <cell r="I13">
            <v>84750</v>
          </cell>
          <cell r="J13">
            <v>84750</v>
          </cell>
          <cell r="K13">
            <v>84750</v>
          </cell>
        </row>
        <row r="14">
          <cell r="B14">
            <v>75120</v>
          </cell>
          <cell r="C14">
            <v>68398</v>
          </cell>
          <cell r="D14">
            <v>3408</v>
          </cell>
          <cell r="H14">
            <v>41622</v>
          </cell>
          <cell r="I14">
            <v>66822</v>
          </cell>
          <cell r="J14">
            <v>66822</v>
          </cell>
          <cell r="K14">
            <v>50022</v>
          </cell>
        </row>
        <row r="15">
          <cell r="B15">
            <v>24960</v>
          </cell>
          <cell r="C15">
            <v>19968</v>
          </cell>
          <cell r="D15">
            <v>4680</v>
          </cell>
          <cell r="H15">
            <v>4480</v>
          </cell>
          <cell r="I15">
            <v>3840</v>
          </cell>
          <cell r="K15">
            <v>3840</v>
          </cell>
        </row>
        <row r="17">
          <cell r="B17">
            <v>44352</v>
          </cell>
          <cell r="C17">
            <v>40056</v>
          </cell>
          <cell r="D17">
            <v>3888</v>
          </cell>
        </row>
        <row r="18">
          <cell r="B18">
            <v>9100</v>
          </cell>
          <cell r="I18">
            <v>10400</v>
          </cell>
        </row>
        <row r="19">
          <cell r="B19">
            <v>2500</v>
          </cell>
          <cell r="C19">
            <v>4308</v>
          </cell>
        </row>
        <row r="21">
          <cell r="B21">
            <v>156785.28</v>
          </cell>
          <cell r="C21">
            <v>162732.78</v>
          </cell>
          <cell r="D21">
            <v>14792.66</v>
          </cell>
          <cell r="H21">
            <v>97179.44999999997</v>
          </cell>
          <cell r="I21">
            <v>97179.44999999997</v>
          </cell>
          <cell r="J21">
            <v>97179.44999999997</v>
          </cell>
          <cell r="K21">
            <v>97179.44999999997</v>
          </cell>
        </row>
        <row r="22">
          <cell r="B22">
            <v>8099.16</v>
          </cell>
          <cell r="C22">
            <v>11477.92</v>
          </cell>
          <cell r="D22">
            <v>1553.37</v>
          </cell>
          <cell r="H22">
            <v>8887.680000000002</v>
          </cell>
          <cell r="I22">
            <v>8887.680000000002</v>
          </cell>
          <cell r="J22">
            <v>8887.680000000002</v>
          </cell>
          <cell r="K22">
            <v>8887.680000000002</v>
          </cell>
        </row>
        <row r="23">
          <cell r="B23">
            <v>61788</v>
          </cell>
          <cell r="C23">
            <v>55366</v>
          </cell>
          <cell r="D23">
            <v>4916</v>
          </cell>
          <cell r="H23">
            <v>36774</v>
          </cell>
          <cell r="I23">
            <v>36774</v>
          </cell>
          <cell r="J23">
            <v>36774</v>
          </cell>
          <cell r="K23">
            <v>36774</v>
          </cell>
        </row>
        <row r="24">
          <cell r="B24">
            <v>11287.26</v>
          </cell>
          <cell r="H24">
            <v>3044.5874999999996</v>
          </cell>
          <cell r="I24">
            <v>3044.5874999999996</v>
          </cell>
          <cell r="J24">
            <v>3044.5874999999996</v>
          </cell>
          <cell r="K24">
            <v>3044.5874999999996</v>
          </cell>
        </row>
        <row r="25">
          <cell r="B25">
            <v>15049.68</v>
          </cell>
          <cell r="H25">
            <v>8250.24</v>
          </cell>
          <cell r="I25">
            <v>8250.24</v>
          </cell>
          <cell r="J25">
            <v>8250.24</v>
          </cell>
          <cell r="K25">
            <v>8250.24</v>
          </cell>
        </row>
        <row r="33">
          <cell r="B33">
            <v>500</v>
          </cell>
          <cell r="C33">
            <v>449</v>
          </cell>
          <cell r="H33">
            <v>125</v>
          </cell>
          <cell r="I33">
            <v>125</v>
          </cell>
          <cell r="J33">
            <v>125</v>
          </cell>
          <cell r="K33">
            <v>125</v>
          </cell>
        </row>
        <row r="34">
          <cell r="H34">
            <v>140</v>
          </cell>
          <cell r="I34">
            <v>140</v>
          </cell>
          <cell r="J34">
            <v>140</v>
          </cell>
          <cell r="K34">
            <v>140</v>
          </cell>
        </row>
        <row r="36">
          <cell r="H36">
            <v>1350</v>
          </cell>
          <cell r="I36">
            <v>1350</v>
          </cell>
          <cell r="J36">
            <v>1350</v>
          </cell>
          <cell r="K36">
            <v>1350</v>
          </cell>
        </row>
        <row r="37">
          <cell r="C37">
            <v>357.52</v>
          </cell>
        </row>
        <row r="38">
          <cell r="B38">
            <v>2800</v>
          </cell>
        </row>
        <row r="39">
          <cell r="H39">
            <v>500</v>
          </cell>
          <cell r="I39">
            <v>500</v>
          </cell>
          <cell r="J39">
            <v>500</v>
          </cell>
          <cell r="K39">
            <v>500</v>
          </cell>
        </row>
        <row r="40">
          <cell r="B40">
            <v>4000</v>
          </cell>
          <cell r="H40">
            <v>2300</v>
          </cell>
          <cell r="I40">
            <v>2300</v>
          </cell>
          <cell r="J40">
            <v>2300</v>
          </cell>
          <cell r="K40">
            <v>2300</v>
          </cell>
        </row>
        <row r="42">
          <cell r="B42">
            <v>12000</v>
          </cell>
          <cell r="C42">
            <v>6286.62</v>
          </cell>
          <cell r="D42">
            <v>1700</v>
          </cell>
        </row>
        <row r="44">
          <cell r="B44">
            <v>509.04</v>
          </cell>
          <cell r="H44">
            <v>289.71</v>
          </cell>
          <cell r="I44">
            <v>289.71</v>
          </cell>
          <cell r="J44">
            <v>289.71</v>
          </cell>
          <cell r="K44">
            <v>289.71</v>
          </cell>
        </row>
        <row r="45">
          <cell r="H45">
            <v>1250</v>
          </cell>
          <cell r="I45">
            <v>1250</v>
          </cell>
          <cell r="J45">
            <v>1250</v>
          </cell>
          <cell r="K45">
            <v>1250</v>
          </cell>
        </row>
      </sheetData>
      <sheetData sheetId="21">
        <row r="9">
          <cell r="C9">
            <v>110244</v>
          </cell>
          <cell r="D9">
            <v>14400</v>
          </cell>
          <cell r="H9">
            <v>62820</v>
          </cell>
        </row>
        <row r="10">
          <cell r="B10">
            <v>0</v>
          </cell>
          <cell r="C10">
            <v>12750</v>
          </cell>
          <cell r="D10">
            <v>1500</v>
          </cell>
        </row>
        <row r="12">
          <cell r="H12">
            <v>5100</v>
          </cell>
        </row>
        <row r="13">
          <cell r="C13">
            <v>12750</v>
          </cell>
          <cell r="D13">
            <v>1500</v>
          </cell>
          <cell r="H13">
            <v>10750</v>
          </cell>
        </row>
        <row r="14">
          <cell r="C14">
            <v>17020</v>
          </cell>
          <cell r="D14">
            <v>480</v>
          </cell>
          <cell r="H14">
            <v>8766</v>
          </cell>
        </row>
        <row r="19">
          <cell r="C19">
            <v>3965.09</v>
          </cell>
        </row>
        <row r="21">
          <cell r="C21">
            <v>61738.03</v>
          </cell>
          <cell r="D21">
            <v>6743.51</v>
          </cell>
          <cell r="H21">
            <v>28500.96</v>
          </cell>
        </row>
        <row r="22">
          <cell r="C22">
            <v>6786.9</v>
          </cell>
          <cell r="D22">
            <v>1272.25</v>
          </cell>
          <cell r="H22">
            <v>4283.460000000001</v>
          </cell>
        </row>
        <row r="23">
          <cell r="C23">
            <v>4032</v>
          </cell>
          <cell r="D23">
            <v>504</v>
          </cell>
          <cell r="H23">
            <v>4605</v>
          </cell>
        </row>
        <row r="25">
          <cell r="H25">
            <v>1026.72</v>
          </cell>
        </row>
        <row r="26">
          <cell r="C26">
            <v>116494</v>
          </cell>
          <cell r="H26">
            <v>15000</v>
          </cell>
        </row>
        <row r="40">
          <cell r="C40">
            <v>17357.4</v>
          </cell>
          <cell r="H40">
            <v>800</v>
          </cell>
        </row>
        <row r="42">
          <cell r="C42">
            <v>28686.89</v>
          </cell>
        </row>
      </sheetData>
      <sheetData sheetId="22">
        <row r="26">
          <cell r="H26">
            <v>68771.1</v>
          </cell>
          <cell r="I26">
            <v>68771.1</v>
          </cell>
          <cell r="J26">
            <v>68771.1</v>
          </cell>
          <cell r="K26">
            <v>68771.1</v>
          </cell>
        </row>
        <row r="40">
          <cell r="H40">
            <v>1312.5</v>
          </cell>
          <cell r="I40">
            <v>1312.5</v>
          </cell>
          <cell r="J40">
            <v>1312.5</v>
          </cell>
          <cell r="K40">
            <v>1312.5</v>
          </cell>
        </row>
      </sheetData>
      <sheetData sheetId="23">
        <row r="7">
          <cell r="B7">
            <v>0</v>
          </cell>
          <cell r="C7">
            <v>0</v>
          </cell>
        </row>
        <row r="8">
          <cell r="B8">
            <v>0</v>
          </cell>
        </row>
        <row r="9">
          <cell r="B9">
            <v>0</v>
          </cell>
        </row>
        <row r="11">
          <cell r="B11">
            <v>0</v>
          </cell>
          <cell r="C11">
            <v>0</v>
          </cell>
        </row>
      </sheetData>
      <sheetData sheetId="24">
        <row r="7">
          <cell r="H7">
            <v>0</v>
          </cell>
          <cell r="I7">
            <v>5100</v>
          </cell>
          <cell r="J7">
            <v>0</v>
          </cell>
          <cell r="K7">
            <v>0</v>
          </cell>
        </row>
        <row r="15">
          <cell r="C15">
            <v>67264.87</v>
          </cell>
        </row>
        <row r="30">
          <cell r="C30">
            <v>462.17</v>
          </cell>
        </row>
      </sheetData>
      <sheetData sheetId="25">
        <row r="6">
          <cell r="B6">
            <v>7645.15</v>
          </cell>
          <cell r="C6">
            <v>0</v>
          </cell>
        </row>
        <row r="7">
          <cell r="B7">
            <v>312491.44</v>
          </cell>
          <cell r="C7">
            <v>35400</v>
          </cell>
          <cell r="F7">
            <v>139196.15083018868</v>
          </cell>
          <cell r="G7">
            <v>131459.59573584906</v>
          </cell>
          <cell r="H7">
            <v>132326.8142264151</v>
          </cell>
          <cell r="I7">
            <v>132734.33422641509</v>
          </cell>
        </row>
        <row r="8">
          <cell r="B8">
            <v>320136.59</v>
          </cell>
          <cell r="F8">
            <v>35400</v>
          </cell>
          <cell r="G8">
            <v>139196.15083018868</v>
          </cell>
          <cell r="H8">
            <v>131459.59573584909</v>
          </cell>
          <cell r="I8">
            <v>132326.8142264151</v>
          </cell>
        </row>
        <row r="11">
          <cell r="C11">
            <v>0</v>
          </cell>
        </row>
        <row r="13">
          <cell r="F13">
            <v>0</v>
          </cell>
          <cell r="G13">
            <v>0</v>
          </cell>
          <cell r="H13">
            <v>0</v>
          </cell>
          <cell r="I13">
            <v>0</v>
          </cell>
        </row>
        <row r="16">
          <cell r="C16">
            <v>0</v>
          </cell>
        </row>
        <row r="18">
          <cell r="F18">
            <v>0</v>
          </cell>
          <cell r="G18">
            <v>0</v>
          </cell>
          <cell r="H18">
            <v>0</v>
          </cell>
          <cell r="I18">
            <v>0</v>
          </cell>
        </row>
        <row r="21">
          <cell r="C21">
            <v>0</v>
          </cell>
        </row>
        <row r="22">
          <cell r="B22">
            <v>8105.24</v>
          </cell>
          <cell r="C22">
            <v>885</v>
          </cell>
          <cell r="F22">
            <v>9743.730558113208</v>
          </cell>
          <cell r="G22">
            <v>9202.171701509435</v>
          </cell>
          <cell r="H22">
            <v>9262.876995849057</v>
          </cell>
          <cell r="I22">
            <v>9291.403395849056</v>
          </cell>
        </row>
        <row r="23">
          <cell r="B23">
            <v>8105.24</v>
          </cell>
          <cell r="F23">
            <v>885</v>
          </cell>
          <cell r="G23">
            <v>9743.730558113208</v>
          </cell>
          <cell r="H23">
            <v>9202.171701509435</v>
          </cell>
          <cell r="I23">
            <v>9262.876995849057</v>
          </cell>
        </row>
        <row r="26">
          <cell r="C26">
            <v>0</v>
          </cell>
        </row>
        <row r="27">
          <cell r="B27">
            <v>7805.21</v>
          </cell>
          <cell r="C27">
            <v>885</v>
          </cell>
          <cell r="F27">
            <v>4175.88452490566</v>
          </cell>
          <cell r="G27">
            <v>3943.7878720754716</v>
          </cell>
          <cell r="H27">
            <v>3969.804426792453</v>
          </cell>
          <cell r="I27">
            <v>3982.030026792452</v>
          </cell>
        </row>
        <row r="28">
          <cell r="B28">
            <v>7805.21</v>
          </cell>
          <cell r="F28">
            <v>884.9999999999991</v>
          </cell>
          <cell r="G28">
            <v>4175.88452490566</v>
          </cell>
          <cell r="H28">
            <v>3943.7878720754716</v>
          </cell>
          <cell r="I28">
            <v>3969.8044267924533</v>
          </cell>
        </row>
        <row r="31">
          <cell r="C31">
            <v>0</v>
          </cell>
        </row>
        <row r="33">
          <cell r="F33">
            <v>0</v>
          </cell>
          <cell r="G33">
            <v>0</v>
          </cell>
          <cell r="H33">
            <v>0</v>
          </cell>
          <cell r="I33">
            <v>0</v>
          </cell>
        </row>
        <row r="36">
          <cell r="C36">
            <v>0</v>
          </cell>
        </row>
        <row r="38">
          <cell r="F38">
            <v>0</v>
          </cell>
          <cell r="G38">
            <v>0</v>
          </cell>
          <cell r="H38">
            <v>0</v>
          </cell>
          <cell r="I38">
            <v>0</v>
          </cell>
        </row>
        <row r="41">
          <cell r="C41">
            <v>0</v>
          </cell>
        </row>
        <row r="43">
          <cell r="F43">
            <v>0</v>
          </cell>
          <cell r="G43">
            <v>0</v>
          </cell>
          <cell r="H43">
            <v>0</v>
          </cell>
          <cell r="I43">
            <v>0</v>
          </cell>
        </row>
        <row r="46">
          <cell r="C46">
            <v>0</v>
          </cell>
        </row>
        <row r="48">
          <cell r="F48">
            <v>0</v>
          </cell>
          <cell r="G48">
            <v>0</v>
          </cell>
          <cell r="H48">
            <v>0</v>
          </cell>
          <cell r="I48">
            <v>0</v>
          </cell>
        </row>
        <row r="51">
          <cell r="C51">
            <v>0</v>
          </cell>
        </row>
        <row r="52">
          <cell r="B52">
            <v>12186.1</v>
          </cell>
          <cell r="F52">
            <v>0</v>
          </cell>
          <cell r="G52">
            <v>0</v>
          </cell>
          <cell r="H52">
            <v>0</v>
          </cell>
          <cell r="I52">
            <v>87450.5068813659</v>
          </cell>
        </row>
        <row r="53">
          <cell r="B53">
            <v>12186.1</v>
          </cell>
          <cell r="F53">
            <v>0</v>
          </cell>
          <cell r="G53">
            <v>0</v>
          </cell>
          <cell r="H53">
            <v>0</v>
          </cell>
          <cell r="I53">
            <v>0</v>
          </cell>
        </row>
        <row r="56">
          <cell r="C56">
            <v>0</v>
          </cell>
        </row>
        <row r="58">
          <cell r="F58">
            <v>0</v>
          </cell>
          <cell r="G58">
            <v>0</v>
          </cell>
          <cell r="H58">
            <v>0</v>
          </cell>
          <cell r="I58">
            <v>0</v>
          </cell>
        </row>
        <row r="61">
          <cell r="C61">
            <v>0</v>
          </cell>
        </row>
        <row r="63">
          <cell r="F63">
            <v>0</v>
          </cell>
          <cell r="G63">
            <v>0</v>
          </cell>
          <cell r="H63">
            <v>0</v>
          </cell>
          <cell r="I63">
            <v>0</v>
          </cell>
        </row>
      </sheetData>
      <sheetData sheetId="26">
        <row r="8">
          <cell r="B8">
            <v>0</v>
          </cell>
          <cell r="C8">
            <v>0</v>
          </cell>
        </row>
        <row r="10">
          <cell r="B10">
            <v>0</v>
          </cell>
          <cell r="C10">
            <v>0</v>
          </cell>
        </row>
        <row r="11">
          <cell r="B11">
            <v>0</v>
          </cell>
          <cell r="C11">
            <v>0</v>
          </cell>
        </row>
        <row r="12">
          <cell r="B12">
            <v>0</v>
          </cell>
          <cell r="C12">
            <v>0</v>
          </cell>
        </row>
        <row r="13">
          <cell r="B13">
            <v>0</v>
          </cell>
          <cell r="C13">
            <v>0</v>
          </cell>
        </row>
        <row r="14">
          <cell r="B14">
            <v>0</v>
          </cell>
          <cell r="C14">
            <v>0</v>
          </cell>
        </row>
        <row r="15">
          <cell r="B15">
            <v>0</v>
          </cell>
          <cell r="C15">
            <v>0</v>
          </cell>
        </row>
        <row r="16">
          <cell r="B16">
            <v>0</v>
          </cell>
          <cell r="C16">
            <v>0</v>
          </cell>
        </row>
        <row r="17">
          <cell r="B17">
            <v>0</v>
          </cell>
          <cell r="C17">
            <v>0</v>
          </cell>
        </row>
        <row r="18">
          <cell r="B18">
            <v>0</v>
          </cell>
          <cell r="C18">
            <v>0</v>
          </cell>
          <cell r="H18">
            <v>0</v>
          </cell>
          <cell r="I18">
            <v>0</v>
          </cell>
          <cell r="J18">
            <v>0</v>
          </cell>
          <cell r="K18">
            <v>0</v>
          </cell>
        </row>
        <row r="19">
          <cell r="B19">
            <v>0</v>
          </cell>
          <cell r="C19">
            <v>0</v>
          </cell>
          <cell r="H19">
            <v>0</v>
          </cell>
          <cell r="I19">
            <v>0</v>
          </cell>
          <cell r="J19">
            <v>0</v>
          </cell>
          <cell r="K19">
            <v>0</v>
          </cell>
        </row>
        <row r="20">
          <cell r="B20">
            <v>0</v>
          </cell>
          <cell r="C20">
            <v>0</v>
          </cell>
          <cell r="H20">
            <v>0</v>
          </cell>
          <cell r="I20">
            <v>0</v>
          </cell>
          <cell r="J20">
            <v>0</v>
          </cell>
          <cell r="K20">
            <v>0</v>
          </cell>
        </row>
        <row r="21">
          <cell r="B21">
            <v>0</v>
          </cell>
          <cell r="C21">
            <v>0</v>
          </cell>
        </row>
        <row r="23">
          <cell r="B23">
            <v>0</v>
          </cell>
          <cell r="C23">
            <v>0</v>
          </cell>
        </row>
        <row r="24">
          <cell r="B24">
            <v>0</v>
          </cell>
          <cell r="C24">
            <v>0</v>
          </cell>
        </row>
        <row r="25">
          <cell r="B25">
            <v>0</v>
          </cell>
          <cell r="C25">
            <v>0</v>
          </cell>
        </row>
        <row r="26">
          <cell r="B26">
            <v>0</v>
          </cell>
          <cell r="C26">
            <v>0</v>
          </cell>
        </row>
        <row r="27">
          <cell r="B27">
            <v>0</v>
          </cell>
          <cell r="C27">
            <v>0</v>
          </cell>
        </row>
        <row r="28">
          <cell r="B28">
            <v>0</v>
          </cell>
          <cell r="C28">
            <v>0</v>
          </cell>
        </row>
        <row r="29">
          <cell r="B29">
            <v>0</v>
          </cell>
          <cell r="C29">
            <v>0</v>
          </cell>
        </row>
        <row r="30">
          <cell r="B30">
            <v>0</v>
          </cell>
          <cell r="C30">
            <v>0</v>
          </cell>
        </row>
        <row r="31">
          <cell r="B31">
            <v>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6">
          <cell r="B46">
            <v>0</v>
          </cell>
          <cell r="C46">
            <v>0</v>
          </cell>
        </row>
        <row r="47">
          <cell r="B47">
            <v>0</v>
          </cell>
          <cell r="C47">
            <v>0</v>
          </cell>
        </row>
        <row r="48">
          <cell r="B48">
            <v>0</v>
          </cell>
          <cell r="C48">
            <v>0</v>
          </cell>
        </row>
      </sheetData>
      <sheetData sheetId="27">
        <row r="8">
          <cell r="B8">
            <v>599280</v>
          </cell>
          <cell r="C8">
            <v>512905.85</v>
          </cell>
          <cell r="D8">
            <v>46940</v>
          </cell>
          <cell r="H8">
            <v>87060</v>
          </cell>
          <cell r="I8">
            <v>112080</v>
          </cell>
          <cell r="J8">
            <v>112080</v>
          </cell>
          <cell r="K8">
            <v>112080</v>
          </cell>
        </row>
        <row r="10">
          <cell r="B10">
            <v>0</v>
          </cell>
          <cell r="C10">
            <v>0</v>
          </cell>
        </row>
        <row r="11">
          <cell r="B11">
            <v>99600</v>
          </cell>
          <cell r="C11">
            <v>76400</v>
          </cell>
          <cell r="D11">
            <v>7200</v>
          </cell>
          <cell r="H11">
            <v>8700</v>
          </cell>
          <cell r="I11">
            <v>13800</v>
          </cell>
          <cell r="J11">
            <v>13800</v>
          </cell>
          <cell r="K11">
            <v>13800</v>
          </cell>
        </row>
        <row r="12">
          <cell r="B12">
            <v>316300</v>
          </cell>
          <cell r="C12">
            <v>268058</v>
          </cell>
          <cell r="D12">
            <v>24854</v>
          </cell>
          <cell r="H12">
            <v>53325</v>
          </cell>
          <cell r="I12">
            <v>61575</v>
          </cell>
          <cell r="J12">
            <v>61575</v>
          </cell>
          <cell r="K12">
            <v>61575</v>
          </cell>
        </row>
        <row r="13">
          <cell r="B13">
            <v>0</v>
          </cell>
          <cell r="H13">
            <v>10000</v>
          </cell>
          <cell r="J13">
            <v>168666.34999999998</v>
          </cell>
          <cell r="K13">
            <v>168666.34999999998</v>
          </cell>
        </row>
        <row r="14">
          <cell r="B14">
            <v>110604</v>
          </cell>
          <cell r="C14">
            <v>82258</v>
          </cell>
          <cell r="D14">
            <v>3392</v>
          </cell>
          <cell r="H14">
            <v>10092</v>
          </cell>
          <cell r="I14">
            <v>21798</v>
          </cell>
          <cell r="J14">
            <v>21798</v>
          </cell>
          <cell r="K14">
            <v>16398</v>
          </cell>
        </row>
        <row r="15">
          <cell r="B15">
            <v>28640</v>
          </cell>
          <cell r="C15">
            <v>14922</v>
          </cell>
          <cell r="D15">
            <v>4120</v>
          </cell>
          <cell r="H15">
            <v>4800</v>
          </cell>
          <cell r="I15">
            <v>5280</v>
          </cell>
          <cell r="J15">
            <v>3840</v>
          </cell>
          <cell r="K15">
            <v>2400</v>
          </cell>
        </row>
        <row r="16">
          <cell r="B16">
            <v>17448</v>
          </cell>
          <cell r="C16">
            <v>9447</v>
          </cell>
          <cell r="D16">
            <v>344</v>
          </cell>
          <cell r="H16">
            <v>1536</v>
          </cell>
          <cell r="I16">
            <v>8686</v>
          </cell>
          <cell r="J16">
            <v>1536</v>
          </cell>
          <cell r="K16">
            <v>1536</v>
          </cell>
        </row>
        <row r="17">
          <cell r="B17">
            <v>202437.48</v>
          </cell>
          <cell r="C17">
            <v>173521.35</v>
          </cell>
          <cell r="D17">
            <v>16734.97</v>
          </cell>
          <cell r="H17">
            <v>29181.78</v>
          </cell>
          <cell r="I17">
            <v>39869.64</v>
          </cell>
          <cell r="J17">
            <v>39869.64</v>
          </cell>
          <cell r="K17">
            <v>39869.64</v>
          </cell>
        </row>
        <row r="18">
          <cell r="B18">
            <v>92916</v>
          </cell>
          <cell r="C18">
            <v>78525</v>
          </cell>
          <cell r="D18">
            <v>7233</v>
          </cell>
          <cell r="H18">
            <v>13770</v>
          </cell>
          <cell r="I18">
            <v>16887</v>
          </cell>
          <cell r="J18">
            <v>16887</v>
          </cell>
          <cell r="K18">
            <v>16887</v>
          </cell>
        </row>
        <row r="20">
          <cell r="B20">
            <v>0</v>
          </cell>
        </row>
        <row r="21">
          <cell r="B21">
            <v>8450</v>
          </cell>
          <cell r="C21">
            <v>4800</v>
          </cell>
        </row>
        <row r="22">
          <cell r="B22">
            <v>16886.76</v>
          </cell>
          <cell r="H22">
            <v>1361.73</v>
          </cell>
          <cell r="I22">
            <v>1688.3625</v>
          </cell>
          <cell r="J22">
            <v>1688.3625</v>
          </cell>
          <cell r="K22">
            <v>1688.3625</v>
          </cell>
        </row>
        <row r="23">
          <cell r="B23">
            <v>22515.68</v>
          </cell>
          <cell r="C23">
            <v>47053.66</v>
          </cell>
          <cell r="D23">
            <v>1600</v>
          </cell>
          <cell r="H23">
            <v>3631.2799999999997</v>
          </cell>
          <cell r="I23">
            <v>4502.299999999999</v>
          </cell>
          <cell r="J23">
            <v>4502.299999999999</v>
          </cell>
          <cell r="K23">
            <v>4502.299999999999</v>
          </cell>
        </row>
        <row r="25">
          <cell r="B25">
            <v>20000</v>
          </cell>
          <cell r="C25">
            <v>5338.09</v>
          </cell>
          <cell r="D25">
            <v>800</v>
          </cell>
          <cell r="H25">
            <v>2000</v>
          </cell>
          <cell r="I25">
            <v>2000</v>
          </cell>
          <cell r="J25">
            <v>2000</v>
          </cell>
          <cell r="K25">
            <v>2000</v>
          </cell>
        </row>
        <row r="26">
          <cell r="B26">
            <v>1000</v>
          </cell>
          <cell r="C26">
            <v>28</v>
          </cell>
          <cell r="H26">
            <v>250</v>
          </cell>
          <cell r="I26">
            <v>250</v>
          </cell>
          <cell r="J26">
            <v>250</v>
          </cell>
          <cell r="K26">
            <v>250</v>
          </cell>
        </row>
        <row r="27">
          <cell r="B27">
            <v>0</v>
          </cell>
          <cell r="C27">
            <v>0</v>
          </cell>
        </row>
        <row r="28">
          <cell r="B28">
            <v>2000</v>
          </cell>
          <cell r="C28">
            <v>2205.69</v>
          </cell>
          <cell r="H28">
            <v>750</v>
          </cell>
          <cell r="I28">
            <v>750</v>
          </cell>
          <cell r="J28">
            <v>750</v>
          </cell>
          <cell r="K28">
            <v>750</v>
          </cell>
        </row>
        <row r="30">
          <cell r="B30">
            <v>12000</v>
          </cell>
          <cell r="C30">
            <v>17933.22</v>
          </cell>
          <cell r="D30">
            <v>3500</v>
          </cell>
          <cell r="H30">
            <v>6300</v>
          </cell>
          <cell r="I30">
            <v>6300</v>
          </cell>
          <cell r="J30">
            <v>6300</v>
          </cell>
          <cell r="K30">
            <v>6300</v>
          </cell>
        </row>
        <row r="31">
          <cell r="B31">
            <v>3000</v>
          </cell>
          <cell r="C31">
            <v>13676.46</v>
          </cell>
          <cell r="D31">
            <v>500</v>
          </cell>
          <cell r="H31">
            <v>750</v>
          </cell>
          <cell r="I31">
            <v>750</v>
          </cell>
          <cell r="J31">
            <v>750</v>
          </cell>
          <cell r="K31">
            <v>750</v>
          </cell>
        </row>
        <row r="32">
          <cell r="B32">
            <v>4000</v>
          </cell>
          <cell r="C32">
            <v>2889.36</v>
          </cell>
          <cell r="H32">
            <v>2300</v>
          </cell>
          <cell r="I32">
            <v>4000</v>
          </cell>
          <cell r="J32">
            <v>700</v>
          </cell>
        </row>
        <row r="33">
          <cell r="B33">
            <v>2000</v>
          </cell>
          <cell r="C33">
            <v>605</v>
          </cell>
        </row>
        <row r="34">
          <cell r="B34">
            <v>0</v>
          </cell>
          <cell r="C34">
            <v>3600</v>
          </cell>
        </row>
        <row r="35">
          <cell r="B35">
            <v>0</v>
          </cell>
        </row>
        <row r="36">
          <cell r="B36">
            <v>7200</v>
          </cell>
          <cell r="C36">
            <v>2712.85</v>
          </cell>
          <cell r="D36">
            <v>80</v>
          </cell>
          <cell r="H36">
            <v>3250</v>
          </cell>
          <cell r="I36">
            <v>3250</v>
          </cell>
          <cell r="J36">
            <v>3250</v>
          </cell>
          <cell r="K36">
            <v>3250</v>
          </cell>
        </row>
        <row r="37">
          <cell r="B37">
            <v>1200</v>
          </cell>
          <cell r="H37">
            <v>300</v>
          </cell>
          <cell r="I37">
            <v>300</v>
          </cell>
          <cell r="J37">
            <v>300</v>
          </cell>
          <cell r="K37">
            <v>300</v>
          </cell>
        </row>
        <row r="38">
          <cell r="B38">
            <v>0</v>
          </cell>
        </row>
        <row r="39">
          <cell r="B39">
            <v>0</v>
          </cell>
          <cell r="K39">
            <v>18000</v>
          </cell>
        </row>
        <row r="40">
          <cell r="B40">
            <v>840</v>
          </cell>
        </row>
        <row r="41">
          <cell r="B41">
            <v>0</v>
          </cell>
          <cell r="C41">
            <v>1789</v>
          </cell>
        </row>
        <row r="42">
          <cell r="B42">
            <v>0</v>
          </cell>
        </row>
        <row r="43">
          <cell r="B43">
            <v>8000</v>
          </cell>
          <cell r="C43">
            <v>6044.01</v>
          </cell>
          <cell r="D43">
            <v>200</v>
          </cell>
          <cell r="H43">
            <v>2000</v>
          </cell>
          <cell r="I43">
            <v>2000</v>
          </cell>
          <cell r="J43">
            <v>2000</v>
          </cell>
          <cell r="K43">
            <v>2000</v>
          </cell>
        </row>
        <row r="44">
          <cell r="B44">
            <v>0</v>
          </cell>
          <cell r="H44">
            <v>0</v>
          </cell>
          <cell r="I44">
            <v>0</v>
          </cell>
          <cell r="J44">
            <v>0</v>
          </cell>
          <cell r="K44">
            <v>0</v>
          </cell>
        </row>
        <row r="45">
          <cell r="B45">
            <v>0</v>
          </cell>
          <cell r="H45">
            <v>0</v>
          </cell>
          <cell r="I45">
            <v>0</v>
          </cell>
          <cell r="J45">
            <v>0</v>
          </cell>
          <cell r="K45">
            <v>0</v>
          </cell>
        </row>
        <row r="46">
          <cell r="B46">
            <v>0</v>
          </cell>
        </row>
        <row r="48">
          <cell r="B48">
            <v>0</v>
          </cell>
        </row>
        <row r="49">
          <cell r="B49">
            <v>50000</v>
          </cell>
        </row>
        <row r="50">
          <cell r="B50">
            <v>0</v>
          </cell>
        </row>
        <row r="51">
          <cell r="B51">
            <v>0</v>
          </cell>
        </row>
        <row r="52">
          <cell r="B52">
            <v>0</v>
          </cell>
        </row>
        <row r="53">
          <cell r="B53">
            <v>0</v>
          </cell>
        </row>
        <row r="55">
          <cell r="B55">
            <v>20000</v>
          </cell>
          <cell r="H55">
            <v>500</v>
          </cell>
          <cell r="I55">
            <v>500</v>
          </cell>
          <cell r="J55">
            <v>500</v>
          </cell>
          <cell r="K55">
            <v>500</v>
          </cell>
        </row>
        <row r="56">
          <cell r="B56">
            <v>35208</v>
          </cell>
          <cell r="H56">
            <v>11230</v>
          </cell>
          <cell r="I56">
            <v>11230</v>
          </cell>
          <cell r="J56">
            <v>11230</v>
          </cell>
          <cell r="K56">
            <v>11230</v>
          </cell>
        </row>
        <row r="57">
          <cell r="B57">
            <v>6000</v>
          </cell>
          <cell r="C57">
            <v>4253.53</v>
          </cell>
          <cell r="H57">
            <v>1000</v>
          </cell>
          <cell r="I57">
            <v>1000</v>
          </cell>
          <cell r="J57">
            <v>1000</v>
          </cell>
          <cell r="K57">
            <v>1000</v>
          </cell>
        </row>
        <row r="58">
          <cell r="B58">
            <v>0</v>
          </cell>
          <cell r="C58">
            <v>0</v>
          </cell>
        </row>
        <row r="59">
          <cell r="B59">
            <v>0</v>
          </cell>
          <cell r="C59">
            <v>0</v>
          </cell>
        </row>
        <row r="60">
          <cell r="B60">
            <v>10000</v>
          </cell>
          <cell r="C60">
            <v>0</v>
          </cell>
          <cell r="H60">
            <v>13350</v>
          </cell>
          <cell r="I60">
            <v>750</v>
          </cell>
          <cell r="J60">
            <v>750</v>
          </cell>
          <cell r="K60">
            <v>750</v>
          </cell>
        </row>
        <row r="61">
          <cell r="C61">
            <v>0</v>
          </cell>
        </row>
        <row r="62">
          <cell r="B62">
            <v>3000</v>
          </cell>
          <cell r="H62">
            <v>800</v>
          </cell>
          <cell r="I62">
            <v>800</v>
          </cell>
          <cell r="J62">
            <v>800</v>
          </cell>
          <cell r="K62">
            <v>800</v>
          </cell>
        </row>
        <row r="63">
          <cell r="B63">
            <v>0</v>
          </cell>
        </row>
        <row r="64">
          <cell r="B64">
            <v>0</v>
          </cell>
          <cell r="C64">
            <v>0</v>
          </cell>
        </row>
        <row r="65">
          <cell r="B65">
            <v>0</v>
          </cell>
        </row>
        <row r="66">
          <cell r="B66">
            <v>0</v>
          </cell>
        </row>
        <row r="69">
          <cell r="B69">
            <v>5175.12</v>
          </cell>
          <cell r="C69">
            <v>15536.12</v>
          </cell>
          <cell r="D69">
            <v>1368</v>
          </cell>
          <cell r="H69">
            <v>644.05</v>
          </cell>
          <cell r="I69">
            <v>644.05</v>
          </cell>
          <cell r="J69">
            <v>677.29</v>
          </cell>
          <cell r="K69">
            <v>644.05</v>
          </cell>
        </row>
        <row r="70">
          <cell r="H70">
            <v>4117.5</v>
          </cell>
          <cell r="I70">
            <v>4117.5</v>
          </cell>
          <cell r="J70">
            <v>4117.5</v>
          </cell>
          <cell r="K70">
            <v>4117.5</v>
          </cell>
        </row>
        <row r="71">
          <cell r="B71">
            <v>0</v>
          </cell>
          <cell r="C71">
            <v>918</v>
          </cell>
        </row>
      </sheetData>
      <sheetData sheetId="28">
        <row r="6">
          <cell r="B6">
            <v>-4595</v>
          </cell>
          <cell r="C6">
            <v>-1840.84</v>
          </cell>
          <cell r="D6">
            <v>-200</v>
          </cell>
          <cell r="H6">
            <v>-320</v>
          </cell>
          <cell r="I6">
            <v>-320</v>
          </cell>
          <cell r="J6">
            <v>-320</v>
          </cell>
          <cell r="K6">
            <v>-320</v>
          </cell>
        </row>
        <row r="7">
          <cell r="B7">
            <v>0</v>
          </cell>
        </row>
        <row r="8">
          <cell r="B8">
            <v>1050</v>
          </cell>
          <cell r="C8">
            <v>1013.5</v>
          </cell>
          <cell r="D8">
            <v>80</v>
          </cell>
          <cell r="H8">
            <v>100</v>
          </cell>
          <cell r="I8">
            <v>100</v>
          </cell>
          <cell r="J8">
            <v>100</v>
          </cell>
          <cell r="K8">
            <v>100</v>
          </cell>
        </row>
        <row r="9">
          <cell r="B9">
            <v>0</v>
          </cell>
        </row>
        <row r="10">
          <cell r="B10">
            <v>0</v>
          </cell>
        </row>
        <row r="11">
          <cell r="B11">
            <v>0</v>
          </cell>
        </row>
      </sheetData>
      <sheetData sheetId="29">
        <row r="6">
          <cell r="C6">
            <v>725215.02</v>
          </cell>
          <cell r="D6">
            <v>1900717.1</v>
          </cell>
          <cell r="E6">
            <v>2417847.160000001</v>
          </cell>
        </row>
        <row r="7">
          <cell r="E7">
            <v>0</v>
          </cell>
          <cell r="F7">
            <v>0</v>
          </cell>
          <cell r="G7">
            <v>0</v>
          </cell>
          <cell r="H7">
            <v>0</v>
          </cell>
          <cell r="I7">
            <v>0</v>
          </cell>
        </row>
        <row r="9">
          <cell r="C9">
            <v>8657890.02</v>
          </cell>
          <cell r="D9">
            <v>8079849.67</v>
          </cell>
          <cell r="E9">
            <v>7276530.560000001</v>
          </cell>
          <cell r="F9">
            <v>6409663.218000002</v>
          </cell>
          <cell r="G9">
            <v>6250163.736000001</v>
          </cell>
          <cell r="H9">
            <v>6090664.2540000025</v>
          </cell>
          <cell r="I9">
            <v>5930146.690200003</v>
          </cell>
        </row>
        <row r="10">
          <cell r="C10">
            <v>48008.05</v>
          </cell>
          <cell r="D10">
            <v>94863.11</v>
          </cell>
          <cell r="E10">
            <v>94863.11</v>
          </cell>
        </row>
        <row r="13">
          <cell r="C13">
            <v>6302.21</v>
          </cell>
          <cell r="D13">
            <v>13228.9</v>
          </cell>
          <cell r="E13">
            <v>13228.9</v>
          </cell>
        </row>
        <row r="14">
          <cell r="C14">
            <v>73386.62</v>
          </cell>
          <cell r="D14">
            <v>569</v>
          </cell>
          <cell r="E14">
            <v>569</v>
          </cell>
        </row>
        <row r="24">
          <cell r="C24">
            <v>1431452.38</v>
          </cell>
          <cell r="D24">
            <v>1625530.04</v>
          </cell>
          <cell r="E24">
            <v>1625530.04</v>
          </cell>
          <cell r="F24">
            <v>1712620.04</v>
          </cell>
          <cell r="G24">
            <v>1776370.04</v>
          </cell>
          <cell r="H24">
            <v>1840120.04</v>
          </cell>
          <cell r="I24">
            <v>1840120.04</v>
          </cell>
        </row>
        <row r="25">
          <cell r="C25">
            <v>902253.26</v>
          </cell>
          <cell r="D25">
            <v>1140375.99</v>
          </cell>
          <cell r="E25">
            <v>1157280.11</v>
          </cell>
          <cell r="F25">
            <v>1220224.0474537816</v>
          </cell>
          <cell r="G25">
            <v>1265290.2224537816</v>
          </cell>
          <cell r="H25">
            <v>1315542.7624537817</v>
          </cell>
          <cell r="I25">
            <v>1365762.0624537817</v>
          </cell>
        </row>
        <row r="29">
          <cell r="F29">
            <v>0</v>
          </cell>
          <cell r="G29">
            <v>0</v>
          </cell>
          <cell r="H29">
            <v>0</v>
          </cell>
          <cell r="I29">
            <v>0</v>
          </cell>
        </row>
        <row r="37">
          <cell r="C37">
            <v>0</v>
          </cell>
          <cell r="D37">
            <v>0</v>
          </cell>
          <cell r="E37">
            <v>0</v>
          </cell>
          <cell r="F37">
            <v>29292.5</v>
          </cell>
          <cell r="G37">
            <v>41175</v>
          </cell>
          <cell r="H37">
            <v>37057.5</v>
          </cell>
          <cell r="I37">
            <v>32940</v>
          </cell>
        </row>
      </sheetData>
      <sheetData sheetId="30">
        <row r="9">
          <cell r="C9">
            <v>1239.26</v>
          </cell>
          <cell r="D9">
            <v>-763</v>
          </cell>
          <cell r="E9">
            <v>417119.49</v>
          </cell>
          <cell r="F9">
            <v>417119.49</v>
          </cell>
          <cell r="G9">
            <v>417119.49</v>
          </cell>
        </row>
        <row r="10">
          <cell r="C10">
            <v>18744</v>
          </cell>
          <cell r="D10">
            <v>2677</v>
          </cell>
        </row>
        <row r="12">
          <cell r="C12">
            <v>1048622.29</v>
          </cell>
          <cell r="D12">
            <v>1120076.1</v>
          </cell>
          <cell r="E12">
            <v>1046211.3</v>
          </cell>
          <cell r="F12">
            <v>214575</v>
          </cell>
          <cell r="G12">
            <v>426650</v>
          </cell>
          <cell r="H12">
            <v>638725</v>
          </cell>
          <cell r="I12">
            <v>850800</v>
          </cell>
        </row>
        <row r="13">
          <cell r="C13">
            <v>8712</v>
          </cell>
          <cell r="D13">
            <v>65339.58</v>
          </cell>
          <cell r="E13">
            <v>65339.58</v>
          </cell>
        </row>
        <row r="14">
          <cell r="C14">
            <v>14230.62</v>
          </cell>
          <cell r="D14">
            <v>97368.13</v>
          </cell>
          <cell r="E14">
            <v>37170</v>
          </cell>
          <cell r="F14">
            <v>153115.76591320752</v>
          </cell>
          <cell r="G14">
            <v>144605.555309434</v>
          </cell>
          <cell r="H14">
            <v>145559.4956490566</v>
          </cell>
          <cell r="I14">
            <v>233458.27453042247</v>
          </cell>
        </row>
        <row r="16">
          <cell r="C16">
            <v>0</v>
          </cell>
          <cell r="F16">
            <v>160400.49200000014</v>
          </cell>
        </row>
        <row r="17">
          <cell r="C17">
            <v>3199479.31</v>
          </cell>
          <cell r="D17">
            <v>2020399.38</v>
          </cell>
          <cell r="E17">
            <v>1386282</v>
          </cell>
        </row>
        <row r="19">
          <cell r="D19">
            <v>0</v>
          </cell>
        </row>
        <row r="25">
          <cell r="F25">
            <v>0</v>
          </cell>
          <cell r="G25">
            <v>0</v>
          </cell>
          <cell r="H25">
            <v>0</v>
          </cell>
          <cell r="I25">
            <v>0</v>
          </cell>
        </row>
        <row r="28">
          <cell r="E28">
            <v>846318.02</v>
          </cell>
          <cell r="F28">
            <v>676637.7200000011</v>
          </cell>
          <cell r="G28">
            <v>506957.4200000004</v>
          </cell>
          <cell r="H28">
            <v>337277.12000000244</v>
          </cell>
          <cell r="I28">
            <v>14306.736299770419</v>
          </cell>
        </row>
        <row r="35">
          <cell r="C35">
            <v>3595055.54</v>
          </cell>
          <cell r="D35">
            <v>4422966.62</v>
          </cell>
        </row>
      </sheetData>
      <sheetData sheetId="31">
        <row r="11">
          <cell r="B11">
            <v>51097.36</v>
          </cell>
        </row>
        <row r="19">
          <cell r="B19">
            <v>0</v>
          </cell>
          <cell r="C19">
            <v>0</v>
          </cell>
          <cell r="D19">
            <v>0</v>
          </cell>
        </row>
        <row r="24">
          <cell r="C24">
            <v>21330.48</v>
          </cell>
        </row>
        <row r="25">
          <cell r="E25">
            <v>802002.4600000007</v>
          </cell>
        </row>
      </sheetData>
      <sheetData sheetId="33">
        <row r="6">
          <cell r="B6">
            <v>240</v>
          </cell>
          <cell r="C6">
            <v>2540</v>
          </cell>
          <cell r="D6">
            <v>240</v>
          </cell>
          <cell r="E6">
            <v>3041.6</v>
          </cell>
          <cell r="F6">
            <v>3304.3</v>
          </cell>
          <cell r="G6">
            <v>3214.5</v>
          </cell>
          <cell r="H6">
            <v>3130.4</v>
          </cell>
          <cell r="I6">
            <v>3041.6</v>
          </cell>
        </row>
        <row r="7">
          <cell r="B7">
            <v>689823.94</v>
          </cell>
          <cell r="C7">
            <v>1894264.15</v>
          </cell>
          <cell r="D7">
            <v>689823.94</v>
          </cell>
          <cell r="E7">
            <v>2410126.610000001</v>
          </cell>
          <cell r="F7">
            <v>2409863.910000001</v>
          </cell>
          <cell r="G7">
            <v>1826944.502669812</v>
          </cell>
          <cell r="H7">
            <v>1822906.0440207554</v>
          </cell>
          <cell r="I7">
            <v>1555423.4374849058</v>
          </cell>
        </row>
        <row r="8">
          <cell r="B8">
            <v>35151.08</v>
          </cell>
          <cell r="C8">
            <v>3912.95</v>
          </cell>
          <cell r="D8">
            <v>35151.08</v>
          </cell>
          <cell r="E8">
            <v>4678.95</v>
          </cell>
          <cell r="F8">
            <v>4678.95</v>
          </cell>
          <cell r="G8">
            <v>4678.95</v>
          </cell>
          <cell r="H8">
            <v>4678.95</v>
          </cell>
          <cell r="I8">
            <v>4678.95</v>
          </cell>
        </row>
        <row r="9">
          <cell r="E9">
            <v>0</v>
          </cell>
        </row>
        <row r="10">
          <cell r="E10">
            <v>0</v>
          </cell>
        </row>
        <row r="11">
          <cell r="E11">
            <v>0</v>
          </cell>
        </row>
        <row r="13">
          <cell r="E13">
            <v>-597126.5342719331</v>
          </cell>
        </row>
        <row r="23">
          <cell r="E23">
            <v>-264000</v>
          </cell>
        </row>
        <row r="35">
          <cell r="E35">
            <v>-160400.49200000014</v>
          </cell>
        </row>
        <row r="46">
          <cell r="D46">
            <v>2417847.160000001</v>
          </cell>
        </row>
      </sheetData>
      <sheetData sheetId="34">
        <row r="7">
          <cell r="B7">
            <v>8139157.55</v>
          </cell>
          <cell r="C7">
            <v>590583.03</v>
          </cell>
          <cell r="F7">
            <v>4719935.847169811</v>
          </cell>
          <cell r="G7">
            <v>2190993.262264151</v>
          </cell>
          <cell r="H7">
            <v>2205446.903773585</v>
          </cell>
          <cell r="I7">
            <v>2212238.903773585</v>
          </cell>
        </row>
        <row r="8">
          <cell r="B8">
            <v>75869.45</v>
          </cell>
        </row>
        <row r="10">
          <cell r="B10">
            <v>1297221.67</v>
          </cell>
          <cell r="C10">
            <v>420185.41000000003</v>
          </cell>
          <cell r="F10">
            <v>320</v>
          </cell>
          <cell r="G10">
            <v>5420</v>
          </cell>
          <cell r="H10">
            <v>320</v>
          </cell>
          <cell r="I10">
            <v>320</v>
          </cell>
        </row>
        <row r="12">
          <cell r="H12">
            <v>0</v>
          </cell>
        </row>
        <row r="16">
          <cell r="B16">
            <v>270492.47</v>
          </cell>
          <cell r="C16">
            <v>0</v>
          </cell>
          <cell r="F16">
            <v>0</v>
          </cell>
          <cell r="G16">
            <v>110510</v>
          </cell>
          <cell r="H16">
            <v>98210</v>
          </cell>
          <cell r="I16">
            <v>0</v>
          </cell>
        </row>
        <row r="18">
          <cell r="B18">
            <v>2566553.91</v>
          </cell>
          <cell r="C18">
            <v>272515</v>
          </cell>
          <cell r="F18">
            <v>2213897.88</v>
          </cell>
          <cell r="G18">
            <v>1116927</v>
          </cell>
          <cell r="H18">
            <v>1448979.7000000002</v>
          </cell>
          <cell r="I18">
            <v>1404579.7</v>
          </cell>
        </row>
        <row r="19">
          <cell r="B19">
            <v>882233.11</v>
          </cell>
          <cell r="C19">
            <v>0</v>
          </cell>
          <cell r="F19">
            <v>0</v>
          </cell>
          <cell r="G19">
            <v>0</v>
          </cell>
          <cell r="H19">
            <v>0</v>
          </cell>
          <cell r="I19">
            <v>0</v>
          </cell>
        </row>
        <row r="20">
          <cell r="B20">
            <v>167217.99</v>
          </cell>
          <cell r="C20">
            <v>16376</v>
          </cell>
          <cell r="F20">
            <v>27544</v>
          </cell>
          <cell r="G20">
            <v>51294</v>
          </cell>
          <cell r="H20">
            <v>2544</v>
          </cell>
          <cell r="I20">
            <v>2544</v>
          </cell>
        </row>
        <row r="21">
          <cell r="B21">
            <v>1357602.58</v>
          </cell>
          <cell r="C21">
            <v>103117.38</v>
          </cell>
          <cell r="F21">
            <v>338237.54999999993</v>
          </cell>
          <cell r="G21">
            <v>316140.98999999993</v>
          </cell>
          <cell r="H21">
            <v>316140.98999999993</v>
          </cell>
          <cell r="I21">
            <v>316140.98999999993</v>
          </cell>
        </row>
        <row r="22">
          <cell r="B22">
            <v>452532</v>
          </cell>
          <cell r="C22">
            <v>21350</v>
          </cell>
          <cell r="F22">
            <v>75441</v>
          </cell>
          <cell r="G22">
            <v>73953</v>
          </cell>
          <cell r="H22">
            <v>73953</v>
          </cell>
          <cell r="I22">
            <v>73953</v>
          </cell>
        </row>
        <row r="23">
          <cell r="C23">
            <v>1600</v>
          </cell>
          <cell r="F23">
            <v>28630.532500000005</v>
          </cell>
          <cell r="G23">
            <v>28801.465000000004</v>
          </cell>
          <cell r="H23">
            <v>28801.465000000004</v>
          </cell>
          <cell r="I23">
            <v>28801.465000000004</v>
          </cell>
        </row>
        <row r="25">
          <cell r="B25">
            <v>15910.45</v>
          </cell>
          <cell r="C25">
            <v>0</v>
          </cell>
          <cell r="F25">
            <v>1770</v>
          </cell>
          <cell r="G25">
            <v>13919.615083018842</v>
          </cell>
          <cell r="H25">
            <v>13145.959573584929</v>
          </cell>
          <cell r="I25">
            <v>13232.6814226415</v>
          </cell>
        </row>
        <row r="26">
          <cell r="B26">
            <v>10665.24</v>
          </cell>
          <cell r="C26">
            <v>0</v>
          </cell>
          <cell r="F26">
            <v>0</v>
          </cell>
          <cell r="G26">
            <v>0</v>
          </cell>
          <cell r="H26">
            <v>0</v>
          </cell>
          <cell r="I26">
            <v>87450.5068813659</v>
          </cell>
        </row>
        <row r="27">
          <cell r="B27">
            <v>31407.2</v>
          </cell>
          <cell r="C27">
            <v>0</v>
          </cell>
          <cell r="F27">
            <v>0</v>
          </cell>
          <cell r="G27">
            <v>0</v>
          </cell>
          <cell r="H27">
            <v>0</v>
          </cell>
          <cell r="I27">
            <v>0</v>
          </cell>
        </row>
        <row r="28">
          <cell r="B28">
            <v>314070.99000000005</v>
          </cell>
          <cell r="C28">
            <v>0</v>
          </cell>
          <cell r="F28">
            <v>35400</v>
          </cell>
          <cell r="G28">
            <v>139196.15083018868</v>
          </cell>
          <cell r="H28">
            <v>131459.59573584909</v>
          </cell>
          <cell r="I28">
            <v>132326.8142264151</v>
          </cell>
        </row>
        <row r="31">
          <cell r="B31">
            <v>7191.09</v>
          </cell>
          <cell r="C31">
            <v>1500</v>
          </cell>
          <cell r="F31">
            <v>2125</v>
          </cell>
          <cell r="G31">
            <v>2125</v>
          </cell>
          <cell r="H31">
            <v>2125</v>
          </cell>
          <cell r="I31">
            <v>2125</v>
          </cell>
        </row>
        <row r="32">
          <cell r="B32">
            <v>84</v>
          </cell>
          <cell r="C32">
            <v>0</v>
          </cell>
          <cell r="F32">
            <v>670</v>
          </cell>
          <cell r="G32">
            <v>670</v>
          </cell>
          <cell r="H32">
            <v>670</v>
          </cell>
          <cell r="I32">
            <v>670</v>
          </cell>
        </row>
        <row r="33">
          <cell r="C33">
            <v>0</v>
          </cell>
          <cell r="F33">
            <v>0</v>
          </cell>
          <cell r="G33">
            <v>0</v>
          </cell>
          <cell r="H33">
            <v>0</v>
          </cell>
          <cell r="I33">
            <v>0</v>
          </cell>
        </row>
        <row r="34">
          <cell r="B34">
            <v>2205.69</v>
          </cell>
          <cell r="C34">
            <v>0</v>
          </cell>
          <cell r="F34">
            <v>750</v>
          </cell>
          <cell r="G34">
            <v>750</v>
          </cell>
          <cell r="H34">
            <v>750</v>
          </cell>
          <cell r="I34">
            <v>750</v>
          </cell>
        </row>
        <row r="35">
          <cell r="B35">
            <v>547367.7</v>
          </cell>
          <cell r="C35">
            <v>75200</v>
          </cell>
          <cell r="F35">
            <v>116540</v>
          </cell>
          <cell r="G35">
            <v>113540</v>
          </cell>
          <cell r="H35">
            <v>139850</v>
          </cell>
          <cell r="I35">
            <v>145850</v>
          </cell>
        </row>
        <row r="36">
          <cell r="B36">
            <v>40965.89</v>
          </cell>
          <cell r="C36">
            <v>80</v>
          </cell>
          <cell r="F36">
            <v>6000</v>
          </cell>
          <cell r="G36">
            <v>6000</v>
          </cell>
          <cell r="H36">
            <v>6000</v>
          </cell>
          <cell r="I36">
            <v>6000</v>
          </cell>
        </row>
        <row r="37">
          <cell r="C37">
            <v>0</v>
          </cell>
          <cell r="F37">
            <v>0</v>
          </cell>
          <cell r="G37">
            <v>0</v>
          </cell>
          <cell r="H37">
            <v>0</v>
          </cell>
          <cell r="I37">
            <v>18000</v>
          </cell>
        </row>
        <row r="38">
          <cell r="B38">
            <v>48600</v>
          </cell>
          <cell r="C38">
            <v>0</v>
          </cell>
          <cell r="F38">
            <v>133771.1</v>
          </cell>
          <cell r="G38">
            <v>118771.1</v>
          </cell>
          <cell r="H38">
            <v>118771.1</v>
          </cell>
          <cell r="I38">
            <v>118771.1</v>
          </cell>
        </row>
        <row r="39">
          <cell r="B39">
            <v>1789</v>
          </cell>
          <cell r="C39">
            <v>0</v>
          </cell>
          <cell r="F39">
            <v>0</v>
          </cell>
          <cell r="G39">
            <v>0</v>
          </cell>
          <cell r="H39">
            <v>0</v>
          </cell>
          <cell r="I39">
            <v>0</v>
          </cell>
        </row>
        <row r="40">
          <cell r="B40">
            <v>6044.01</v>
          </cell>
          <cell r="C40">
            <v>200</v>
          </cell>
          <cell r="F40">
            <v>2500</v>
          </cell>
          <cell r="G40">
            <v>2500</v>
          </cell>
          <cell r="H40">
            <v>2500</v>
          </cell>
          <cell r="I40">
            <v>2500</v>
          </cell>
        </row>
        <row r="41">
          <cell r="C41">
            <v>0</v>
          </cell>
          <cell r="F41">
            <v>0</v>
          </cell>
          <cell r="G41">
            <v>0</v>
          </cell>
          <cell r="H41">
            <v>0</v>
          </cell>
          <cell r="I41">
            <v>0</v>
          </cell>
        </row>
        <row r="42">
          <cell r="C42">
            <v>0</v>
          </cell>
          <cell r="F42">
            <v>0</v>
          </cell>
          <cell r="G42">
            <v>0</v>
          </cell>
          <cell r="H42">
            <v>0</v>
          </cell>
          <cell r="I42">
            <v>0</v>
          </cell>
        </row>
        <row r="43">
          <cell r="C43">
            <v>0</v>
          </cell>
          <cell r="F43">
            <v>0</v>
          </cell>
          <cell r="G43">
            <v>0</v>
          </cell>
          <cell r="H43">
            <v>0</v>
          </cell>
          <cell r="I43">
            <v>0</v>
          </cell>
        </row>
        <row r="44">
          <cell r="C44">
            <v>0</v>
          </cell>
          <cell r="F44">
            <v>0</v>
          </cell>
          <cell r="G44">
            <v>0</v>
          </cell>
          <cell r="H44">
            <v>0</v>
          </cell>
          <cell r="I44">
            <v>0</v>
          </cell>
        </row>
        <row r="45">
          <cell r="C45">
            <v>0</v>
          </cell>
          <cell r="F45">
            <v>0</v>
          </cell>
          <cell r="G45">
            <v>0</v>
          </cell>
          <cell r="H45">
            <v>0</v>
          </cell>
          <cell r="I45">
            <v>0</v>
          </cell>
        </row>
        <row r="46">
          <cell r="B46">
            <v>4253.53</v>
          </cell>
          <cell r="C46">
            <v>0</v>
          </cell>
          <cell r="F46">
            <v>26880</v>
          </cell>
          <cell r="G46">
            <v>14280</v>
          </cell>
          <cell r="H46">
            <v>14280</v>
          </cell>
          <cell r="I46">
            <v>14280</v>
          </cell>
        </row>
        <row r="47">
          <cell r="C47">
            <v>0</v>
          </cell>
          <cell r="F47">
            <v>0</v>
          </cell>
          <cell r="G47">
            <v>0</v>
          </cell>
          <cell r="H47">
            <v>0</v>
          </cell>
          <cell r="I47">
            <v>0</v>
          </cell>
        </row>
        <row r="48">
          <cell r="C48">
            <v>0</v>
          </cell>
          <cell r="F48">
            <v>0</v>
          </cell>
          <cell r="G48">
            <v>0</v>
          </cell>
          <cell r="H48">
            <v>0</v>
          </cell>
          <cell r="I48">
            <v>0</v>
          </cell>
        </row>
        <row r="49">
          <cell r="C49">
            <v>0</v>
          </cell>
          <cell r="F49">
            <v>0</v>
          </cell>
          <cell r="G49">
            <v>0</v>
          </cell>
          <cell r="H49">
            <v>0</v>
          </cell>
          <cell r="I49">
            <v>0</v>
          </cell>
        </row>
        <row r="50">
          <cell r="B50">
            <v>2104244.21</v>
          </cell>
          <cell r="C50">
            <v>1700</v>
          </cell>
          <cell r="F50">
            <v>12207.5</v>
          </cell>
          <cell r="G50">
            <v>11407.5</v>
          </cell>
          <cell r="H50">
            <v>11407.5</v>
          </cell>
          <cell r="I50">
            <v>11407.5</v>
          </cell>
        </row>
        <row r="52">
          <cell r="C52">
            <v>0</v>
          </cell>
          <cell r="F52">
            <v>0</v>
          </cell>
          <cell r="H52">
            <v>0</v>
          </cell>
        </row>
      </sheetData>
      <sheetData sheetId="35">
        <row r="7">
          <cell r="B7">
            <v>0</v>
          </cell>
        </row>
        <row r="8">
          <cell r="B8">
            <v>0</v>
          </cell>
        </row>
        <row r="11">
          <cell r="B11">
            <v>692400</v>
          </cell>
        </row>
        <row r="15">
          <cell r="B15">
            <v>197715.53</v>
          </cell>
        </row>
        <row r="20">
          <cell r="B20">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人工成本"/>
      <sheetName val="2)人力资源成本预算表"/>
      <sheetName val="3)人员情况表"/>
      <sheetName val="4)自建地产及经营性投资项目预算表"/>
      <sheetName val="5)自建代建项目开发成本预算表（年）"/>
      <sheetName val="6)固定资产及无形资产预算表"/>
      <sheetName val="7)筹资预算表"/>
      <sheetName val="8)权益性投资预算表"/>
      <sheetName val="9)资产处置预算表"/>
      <sheetName val="10)并购项目预算明细表"/>
      <sheetName val="11)合作项目预算表"/>
      <sheetName val="12)公务用车预算明细表"/>
      <sheetName val="13)主营业务收支预算表"/>
      <sheetName val="13-1)生产成本预算表（汇总） "/>
      <sheetName val="13-1)生产成本预算表（1）"/>
      <sheetName val="13-1)生产成本预算表（2）"/>
      <sheetName val="13-1)生产成本预算表（3)"/>
      <sheetName val="13-1)生产成本预算表（4) "/>
      <sheetName val="13-1)生产成本预算表（5) "/>
      <sheetName val="13-1)生产成本预算表（6) "/>
      <sheetName val="13-1)生产成本预算表（7) "/>
      <sheetName val="13-1)生产成本预算表（8) "/>
      <sheetName val="13-1)生产成本预算表（9) "/>
      <sheetName val="13-2)营业成本预算表（汇总）"/>
      <sheetName val="13-2)营业成本预算表（三江居环境卫生)"/>
      <sheetName val="13-2)营业成本预算表（学校服务项目)"/>
      <sheetName val="13-2)营业成本预算表（农场后勤服务)"/>
      <sheetName val="14)其他业务收支预算表"/>
      <sheetName val="15)营业外收支预算表"/>
      <sheetName val="16)税金预算表"/>
      <sheetName val="17)销售（经营）费用预算表"/>
      <sheetName val="18)管理费用预算表"/>
      <sheetName val="19)财务费用预算表"/>
      <sheetName val="20)资产负债预算表（一）"/>
      <sheetName val="21)资产负债预算表（二）"/>
      <sheetName val="22)利润预算表"/>
      <sheetName val="23)利润分配预算表"/>
      <sheetName val="24)资金预算表总表"/>
      <sheetName val="25)经营活动现金流量预算"/>
      <sheetName val="26)投资活动现金流量预算"/>
      <sheetName val="27)筹资活动现金流量预算"/>
    </sheetNames>
    <sheetDataSet>
      <sheetData sheetId="0">
        <row r="20">
          <cell r="E20">
            <v>3540</v>
          </cell>
          <cell r="G20">
            <v>200</v>
          </cell>
          <cell r="I20">
            <v>170</v>
          </cell>
          <cell r="J20">
            <v>264</v>
          </cell>
          <cell r="K20">
            <v>300</v>
          </cell>
          <cell r="N20">
            <v>833.76</v>
          </cell>
          <cell r="O20">
            <v>442.94</v>
          </cell>
          <cell r="P20">
            <v>26.06</v>
          </cell>
          <cell r="Q20">
            <v>14.59</v>
          </cell>
          <cell r="S20">
            <v>626</v>
          </cell>
          <cell r="T20">
            <v>1700.16</v>
          </cell>
          <cell r="U20">
            <v>1275.12</v>
          </cell>
          <cell r="V20">
            <v>900</v>
          </cell>
          <cell r="X20">
            <v>22020</v>
          </cell>
        </row>
        <row r="21">
          <cell r="U21">
            <v>1023.42</v>
          </cell>
        </row>
        <row r="25">
          <cell r="E25">
            <v>17160</v>
          </cell>
          <cell r="G25">
            <v>470</v>
          </cell>
          <cell r="H25">
            <v>200</v>
          </cell>
          <cell r="I25">
            <v>870</v>
          </cell>
          <cell r="J25">
            <v>1320</v>
          </cell>
          <cell r="K25">
            <v>1500</v>
          </cell>
          <cell r="N25">
            <v>4011.1000000000004</v>
          </cell>
          <cell r="O25">
            <v>2147.9700000000003</v>
          </cell>
          <cell r="P25">
            <v>126.37</v>
          </cell>
          <cell r="Q25">
            <v>70.75</v>
          </cell>
          <cell r="S25">
            <v>2831</v>
          </cell>
          <cell r="T25">
            <v>7861.200000000001</v>
          </cell>
          <cell r="U25">
            <v>5895.9</v>
          </cell>
          <cell r="V25">
            <v>4600</v>
          </cell>
          <cell r="X25">
            <v>97040</v>
          </cell>
          <cell r="AI25">
            <v>162.36000000000007</v>
          </cell>
        </row>
      </sheetData>
      <sheetData sheetId="1">
        <row r="8">
          <cell r="L8">
            <v>213120</v>
          </cell>
        </row>
        <row r="17">
          <cell r="C17">
            <v>131129.63999999998</v>
          </cell>
          <cell r="D17">
            <v>86747.93</v>
          </cell>
          <cell r="L17">
            <v>53280</v>
          </cell>
          <cell r="N17">
            <v>5826</v>
          </cell>
          <cell r="O17">
            <v>0</v>
          </cell>
          <cell r="P17">
            <v>39575</v>
          </cell>
          <cell r="Q17">
            <v>1600</v>
          </cell>
          <cell r="S17">
            <v>18010.499999999996</v>
          </cell>
          <cell r="T17">
            <v>8553</v>
          </cell>
          <cell r="U17">
            <v>2005.12</v>
          </cell>
          <cell r="V17">
            <v>1503.8400000000001</v>
          </cell>
          <cell r="W17">
            <v>0</v>
          </cell>
        </row>
        <row r="18">
          <cell r="C18">
            <v>88393.065</v>
          </cell>
          <cell r="D18">
            <v>68664.95</v>
          </cell>
          <cell r="L18">
            <v>23160</v>
          </cell>
          <cell r="N18">
            <v>3384</v>
          </cell>
          <cell r="O18">
            <v>6600</v>
          </cell>
          <cell r="P18">
            <v>11500</v>
          </cell>
          <cell r="Q18">
            <v>3100</v>
          </cell>
          <cell r="S18">
            <v>8243.789999999997</v>
          </cell>
          <cell r="T18">
            <v>3915</v>
          </cell>
          <cell r="U18">
            <v>891.0799999999999</v>
          </cell>
          <cell r="V18">
            <v>668.31</v>
          </cell>
        </row>
        <row r="19">
          <cell r="C19">
            <v>187176.02</v>
          </cell>
          <cell r="D19">
            <v>204720.5</v>
          </cell>
          <cell r="L19">
            <v>69480</v>
          </cell>
          <cell r="N19">
            <v>11004</v>
          </cell>
          <cell r="O19">
            <v>18000</v>
          </cell>
          <cell r="P19">
            <v>29510</v>
          </cell>
          <cell r="Q19">
            <v>6700</v>
          </cell>
          <cell r="R19">
            <v>2500</v>
          </cell>
          <cell r="S19">
            <v>25724.79</v>
          </cell>
          <cell r="T19">
            <v>11340</v>
          </cell>
          <cell r="U19">
            <v>2534.18</v>
          </cell>
          <cell r="V19">
            <v>1900.6349999999998</v>
          </cell>
        </row>
        <row r="20">
          <cell r="C20">
            <v>0</v>
          </cell>
          <cell r="S20">
            <v>0</v>
          </cell>
          <cell r="T20">
            <v>0</v>
          </cell>
          <cell r="U20">
            <v>0</v>
          </cell>
          <cell r="V20">
            <v>0</v>
          </cell>
        </row>
        <row r="21">
          <cell r="C21">
            <v>0</v>
          </cell>
          <cell r="S21">
            <v>0</v>
          </cell>
          <cell r="T21">
            <v>0</v>
          </cell>
          <cell r="U21">
            <v>0</v>
          </cell>
          <cell r="V21">
            <v>0</v>
          </cell>
        </row>
        <row r="22">
          <cell r="C22">
            <v>0</v>
          </cell>
          <cell r="O22">
            <v>3000</v>
          </cell>
          <cell r="P22">
            <v>43292.09999999998</v>
          </cell>
          <cell r="S22">
            <v>0</v>
          </cell>
          <cell r="T22">
            <v>0</v>
          </cell>
          <cell r="U22">
            <v>0</v>
          </cell>
          <cell r="V22">
            <v>0</v>
          </cell>
        </row>
        <row r="23">
          <cell r="C23">
            <v>0</v>
          </cell>
          <cell r="S23">
            <v>0</v>
          </cell>
          <cell r="T23">
            <v>0</v>
          </cell>
          <cell r="U23">
            <v>0</v>
          </cell>
          <cell r="V23">
            <v>0</v>
          </cell>
        </row>
        <row r="26">
          <cell r="C26">
            <v>135929.63999999998</v>
          </cell>
          <cell r="D26">
            <v>115864.7</v>
          </cell>
          <cell r="L26">
            <v>53280</v>
          </cell>
          <cell r="N26">
            <v>8526</v>
          </cell>
          <cell r="O26">
            <v>0</v>
          </cell>
          <cell r="P26">
            <v>39575</v>
          </cell>
          <cell r="Q26">
            <v>1760</v>
          </cell>
          <cell r="R26">
            <v>1950</v>
          </cell>
          <cell r="S26">
            <v>18010.499999999996</v>
          </cell>
          <cell r="T26">
            <v>8553</v>
          </cell>
          <cell r="U26">
            <v>2005.12</v>
          </cell>
          <cell r="V26">
            <v>1503.8400000000001</v>
          </cell>
          <cell r="W26">
            <v>0</v>
          </cell>
        </row>
        <row r="27">
          <cell r="C27">
            <v>93193.065</v>
          </cell>
          <cell r="D27">
            <v>50602.08</v>
          </cell>
          <cell r="L27">
            <v>23160</v>
          </cell>
          <cell r="N27">
            <v>5184</v>
          </cell>
          <cell r="O27">
            <v>6600</v>
          </cell>
          <cell r="P27">
            <v>11500</v>
          </cell>
          <cell r="Q27">
            <v>3260</v>
          </cell>
          <cell r="R27">
            <v>1300</v>
          </cell>
          <cell r="S27">
            <v>8243.789999999997</v>
          </cell>
          <cell r="T27">
            <v>3915</v>
          </cell>
          <cell r="U27">
            <v>891.0799999999999</v>
          </cell>
          <cell r="V27">
            <v>668.31</v>
          </cell>
        </row>
        <row r="28">
          <cell r="C28">
            <v>201376.02</v>
          </cell>
          <cell r="D28">
            <v>244901.33</v>
          </cell>
          <cell r="L28">
            <v>69480</v>
          </cell>
          <cell r="N28">
            <v>17304</v>
          </cell>
          <cell r="O28">
            <v>18000</v>
          </cell>
          <cell r="P28">
            <v>29510</v>
          </cell>
          <cell r="Q28">
            <v>6860</v>
          </cell>
          <cell r="R28">
            <v>7050</v>
          </cell>
          <cell r="S28">
            <v>25724.79</v>
          </cell>
          <cell r="T28">
            <v>11340</v>
          </cell>
          <cell r="U28">
            <v>2534.18</v>
          </cell>
          <cell r="V28">
            <v>1900.6349999999998</v>
          </cell>
        </row>
        <row r="29">
          <cell r="C29">
            <v>0</v>
          </cell>
          <cell r="S29">
            <v>0</v>
          </cell>
          <cell r="T29">
            <v>0</v>
          </cell>
          <cell r="U29">
            <v>0</v>
          </cell>
          <cell r="V29">
            <v>0</v>
          </cell>
        </row>
        <row r="30">
          <cell r="C30">
            <v>0</v>
          </cell>
          <cell r="S30">
            <v>0</v>
          </cell>
          <cell r="T30">
            <v>0</v>
          </cell>
          <cell r="U30">
            <v>0</v>
          </cell>
          <cell r="V30">
            <v>0</v>
          </cell>
        </row>
        <row r="31">
          <cell r="C31">
            <v>0</v>
          </cell>
          <cell r="P31">
            <v>43292.09999999998</v>
          </cell>
          <cell r="S31">
            <v>0</v>
          </cell>
          <cell r="T31">
            <v>0</v>
          </cell>
          <cell r="U31">
            <v>0</v>
          </cell>
          <cell r="V31">
            <v>0</v>
          </cell>
        </row>
        <row r="32">
          <cell r="C32">
            <v>0</v>
          </cell>
          <cell r="S32">
            <v>0</v>
          </cell>
          <cell r="T32">
            <v>0</v>
          </cell>
          <cell r="U32">
            <v>0</v>
          </cell>
          <cell r="V32">
            <v>0</v>
          </cell>
        </row>
        <row r="35">
          <cell r="C35">
            <v>133829.63999999998</v>
          </cell>
          <cell r="D35">
            <v>126533.09</v>
          </cell>
          <cell r="E35">
            <v>0</v>
          </cell>
          <cell r="L35">
            <v>53280</v>
          </cell>
          <cell r="N35">
            <v>8526</v>
          </cell>
          <cell r="O35">
            <v>0</v>
          </cell>
          <cell r="P35">
            <v>39575</v>
          </cell>
          <cell r="Q35">
            <v>480</v>
          </cell>
          <cell r="S35">
            <v>18010.499999999996</v>
          </cell>
          <cell r="T35">
            <v>8553</v>
          </cell>
          <cell r="U35">
            <v>2005.12</v>
          </cell>
          <cell r="V35">
            <v>1503.8400000000001</v>
          </cell>
          <cell r="W35">
            <v>0</v>
          </cell>
        </row>
        <row r="36">
          <cell r="C36">
            <v>91093.065</v>
          </cell>
          <cell r="D36">
            <v>39579.55</v>
          </cell>
          <cell r="L36">
            <v>23160</v>
          </cell>
          <cell r="N36">
            <v>5184</v>
          </cell>
          <cell r="O36">
            <v>6600</v>
          </cell>
          <cell r="P36">
            <v>11500</v>
          </cell>
          <cell r="Q36">
            <v>1980</v>
          </cell>
          <cell r="S36">
            <v>8243.789999999997</v>
          </cell>
          <cell r="T36">
            <v>3915</v>
          </cell>
          <cell r="U36">
            <v>891.0799999999999</v>
          </cell>
          <cell r="V36">
            <v>668.31</v>
          </cell>
          <cell r="W36">
            <v>0</v>
          </cell>
        </row>
        <row r="37">
          <cell r="C37">
            <v>194376.02</v>
          </cell>
          <cell r="D37">
            <v>197787</v>
          </cell>
          <cell r="L37">
            <v>69480</v>
          </cell>
          <cell r="N37">
            <v>17304</v>
          </cell>
          <cell r="O37">
            <v>18000</v>
          </cell>
          <cell r="P37">
            <v>29510</v>
          </cell>
          <cell r="Q37">
            <v>5580</v>
          </cell>
          <cell r="R37">
            <v>2500</v>
          </cell>
          <cell r="S37">
            <v>25724.79</v>
          </cell>
          <cell r="T37">
            <v>11340</v>
          </cell>
          <cell r="U37">
            <v>2534.18</v>
          </cell>
          <cell r="V37">
            <v>1900.6349999999998</v>
          </cell>
        </row>
        <row r="38">
          <cell r="C38">
            <v>0</v>
          </cell>
          <cell r="S38">
            <v>0</v>
          </cell>
          <cell r="T38">
            <v>0</v>
          </cell>
          <cell r="U38">
            <v>0</v>
          </cell>
          <cell r="V38">
            <v>0</v>
          </cell>
        </row>
        <row r="39">
          <cell r="C39">
            <v>0</v>
          </cell>
          <cell r="S39">
            <v>0</v>
          </cell>
          <cell r="T39">
            <v>0</v>
          </cell>
          <cell r="U39">
            <v>0</v>
          </cell>
          <cell r="V39">
            <v>0</v>
          </cell>
        </row>
        <row r="40">
          <cell r="C40">
            <v>0</v>
          </cell>
          <cell r="P40">
            <v>43292.09999999998</v>
          </cell>
          <cell r="S40">
            <v>0</v>
          </cell>
          <cell r="T40">
            <v>0</v>
          </cell>
          <cell r="U40">
            <v>0</v>
          </cell>
          <cell r="V40">
            <v>0</v>
          </cell>
        </row>
        <row r="41">
          <cell r="C41">
            <v>0</v>
          </cell>
          <cell r="D41">
            <v>0</v>
          </cell>
          <cell r="S41">
            <v>0</v>
          </cell>
          <cell r="T41">
            <v>0</v>
          </cell>
          <cell r="U41">
            <v>0</v>
          </cell>
          <cell r="V41">
            <v>0</v>
          </cell>
        </row>
        <row r="43">
          <cell r="C43">
            <v>410898.725</v>
          </cell>
          <cell r="D43">
            <v>0</v>
          </cell>
          <cell r="E43">
            <v>345826.4</v>
          </cell>
        </row>
        <row r="44">
          <cell r="C44">
            <v>132029.63999999998</v>
          </cell>
          <cell r="E44">
            <v>126013.09</v>
          </cell>
          <cell r="L44">
            <v>53280</v>
          </cell>
          <cell r="N44">
            <v>6726</v>
          </cell>
          <cell r="O44">
            <v>0</v>
          </cell>
          <cell r="P44">
            <v>39575</v>
          </cell>
          <cell r="Q44">
            <v>1120</v>
          </cell>
          <cell r="S44">
            <v>18010.499999999996</v>
          </cell>
          <cell r="T44">
            <v>8553</v>
          </cell>
          <cell r="U44">
            <v>2005.12</v>
          </cell>
          <cell r="V44">
            <v>1503.8400000000001</v>
          </cell>
        </row>
        <row r="45">
          <cell r="C45">
            <v>89293.065</v>
          </cell>
          <cell r="E45">
            <v>39208.12</v>
          </cell>
          <cell r="L45">
            <v>23160</v>
          </cell>
          <cell r="N45">
            <v>3984</v>
          </cell>
          <cell r="O45">
            <v>6600</v>
          </cell>
          <cell r="P45">
            <v>11500</v>
          </cell>
          <cell r="Q45">
            <v>2320</v>
          </cell>
          <cell r="R45">
            <v>13500</v>
          </cell>
          <cell r="S45">
            <v>8243.789999999997</v>
          </cell>
          <cell r="T45">
            <v>3915</v>
          </cell>
          <cell r="U45">
            <v>891.0799999999999</v>
          </cell>
          <cell r="V45">
            <v>668.31</v>
          </cell>
        </row>
        <row r="46">
          <cell r="C46">
            <v>189576.02</v>
          </cell>
          <cell r="E46">
            <v>180605.19</v>
          </cell>
          <cell r="L46">
            <v>69480</v>
          </cell>
          <cell r="N46">
            <v>13104</v>
          </cell>
          <cell r="O46">
            <v>18000</v>
          </cell>
          <cell r="P46">
            <v>29510</v>
          </cell>
          <cell r="Q46">
            <v>6220</v>
          </cell>
          <cell r="R46">
            <v>29500</v>
          </cell>
          <cell r="S46">
            <v>25724.79</v>
          </cell>
          <cell r="T46">
            <v>11340</v>
          </cell>
          <cell r="U46">
            <v>2534.18</v>
          </cell>
          <cell r="V46">
            <v>1900.6349999999998</v>
          </cell>
        </row>
        <row r="47">
          <cell r="C47">
            <v>0</v>
          </cell>
          <cell r="S47">
            <v>0</v>
          </cell>
          <cell r="T47">
            <v>0</v>
          </cell>
          <cell r="U47">
            <v>0</v>
          </cell>
          <cell r="V47">
            <v>0</v>
          </cell>
        </row>
        <row r="48">
          <cell r="C48">
            <v>0</v>
          </cell>
          <cell r="S48">
            <v>0</v>
          </cell>
          <cell r="T48">
            <v>0</v>
          </cell>
          <cell r="U48">
            <v>0</v>
          </cell>
          <cell r="V48">
            <v>0</v>
          </cell>
        </row>
        <row r="49">
          <cell r="C49">
            <v>0</v>
          </cell>
          <cell r="P49">
            <v>43292.09999999998</v>
          </cell>
          <cell r="S49">
            <v>0</v>
          </cell>
          <cell r="T49">
            <v>0</v>
          </cell>
          <cell r="U49">
            <v>0</v>
          </cell>
          <cell r="V49">
            <v>0</v>
          </cell>
        </row>
        <row r="50">
          <cell r="S50">
            <v>0</v>
          </cell>
          <cell r="T50">
            <v>0</v>
          </cell>
          <cell r="U50">
            <v>0</v>
          </cell>
          <cell r="V50">
            <v>0</v>
          </cell>
        </row>
      </sheetData>
      <sheetData sheetId="2">
        <row r="8">
          <cell r="B8">
            <v>3</v>
          </cell>
          <cell r="C8">
            <v>3</v>
          </cell>
          <cell r="D8">
            <v>3</v>
          </cell>
          <cell r="E8">
            <v>3</v>
          </cell>
          <cell r="F8">
            <v>3</v>
          </cell>
          <cell r="G8">
            <v>3</v>
          </cell>
          <cell r="H8">
            <v>3</v>
          </cell>
          <cell r="I8">
            <v>3</v>
          </cell>
        </row>
        <row r="9">
          <cell r="B9">
            <v>2</v>
          </cell>
          <cell r="C9">
            <v>2</v>
          </cell>
          <cell r="D9">
            <v>2</v>
          </cell>
          <cell r="E9">
            <v>2</v>
          </cell>
          <cell r="F9">
            <v>2</v>
          </cell>
          <cell r="G9">
            <v>2</v>
          </cell>
          <cell r="H9">
            <v>2</v>
          </cell>
          <cell r="I9">
            <v>2</v>
          </cell>
        </row>
        <row r="10">
          <cell r="B10">
            <v>7</v>
          </cell>
          <cell r="C10">
            <v>7</v>
          </cell>
          <cell r="D10">
            <v>7</v>
          </cell>
          <cell r="E10">
            <v>7</v>
          </cell>
          <cell r="F10">
            <v>7</v>
          </cell>
          <cell r="G10">
            <v>7</v>
          </cell>
          <cell r="H10">
            <v>7</v>
          </cell>
          <cell r="I10">
            <v>7</v>
          </cell>
        </row>
      </sheetData>
      <sheetData sheetId="3">
        <row r="5">
          <cell r="F5">
            <v>0</v>
          </cell>
        </row>
      </sheetData>
      <sheetData sheetId="4">
        <row r="3">
          <cell r="B3" t="str">
            <v>仟亩常年蔬菜大棚</v>
          </cell>
        </row>
        <row r="5">
          <cell r="C5" t="str">
            <v>1000亩大棚</v>
          </cell>
        </row>
        <row r="6">
          <cell r="B6">
            <v>68466200</v>
          </cell>
        </row>
        <row r="9">
          <cell r="B9">
            <v>0</v>
          </cell>
        </row>
        <row r="12">
          <cell r="D12">
            <v>600000</v>
          </cell>
        </row>
        <row r="14">
          <cell r="B14">
            <v>20000</v>
          </cell>
          <cell r="D14">
            <v>1704300</v>
          </cell>
        </row>
        <row r="15">
          <cell r="B15">
            <v>2373</v>
          </cell>
          <cell r="D15">
            <v>94000</v>
          </cell>
        </row>
        <row r="17">
          <cell r="B17">
            <v>28710</v>
          </cell>
          <cell r="D17">
            <v>78600</v>
          </cell>
        </row>
        <row r="19">
          <cell r="D19">
            <v>30000</v>
          </cell>
        </row>
        <row r="20">
          <cell r="B20">
            <v>100000</v>
          </cell>
          <cell r="D20">
            <v>191200</v>
          </cell>
        </row>
        <row r="22">
          <cell r="B22">
            <v>1000</v>
          </cell>
          <cell r="D22">
            <v>72300</v>
          </cell>
        </row>
        <row r="25">
          <cell r="D25">
            <v>159800</v>
          </cell>
        </row>
        <row r="37">
          <cell r="D37">
            <v>3334600</v>
          </cell>
        </row>
        <row r="39">
          <cell r="B39">
            <v>43380</v>
          </cell>
          <cell r="D39">
            <v>192000</v>
          </cell>
        </row>
        <row r="40">
          <cell r="B40">
            <v>34818</v>
          </cell>
        </row>
        <row r="42">
          <cell r="D42">
            <v>10922100</v>
          </cell>
        </row>
        <row r="43">
          <cell r="D43">
            <v>1500000</v>
          </cell>
        </row>
        <row r="48">
          <cell r="D48">
            <v>3180000</v>
          </cell>
        </row>
        <row r="50">
          <cell r="B50">
            <v>3492635.98</v>
          </cell>
          <cell r="C50">
            <v>3489555.31</v>
          </cell>
          <cell r="D50">
            <v>39744600</v>
          </cell>
        </row>
        <row r="51">
          <cell r="D51">
            <v>4464900</v>
          </cell>
        </row>
        <row r="53">
          <cell r="D53">
            <v>140400</v>
          </cell>
        </row>
        <row r="56">
          <cell r="B56">
            <v>50707</v>
          </cell>
          <cell r="D56">
            <v>1145700</v>
          </cell>
        </row>
        <row r="65">
          <cell r="D65">
            <v>911700</v>
          </cell>
        </row>
      </sheetData>
      <sheetData sheetId="5">
        <row r="7">
          <cell r="B7">
            <v>8000</v>
          </cell>
          <cell r="C7">
            <v>11200</v>
          </cell>
          <cell r="I7">
            <v>38000</v>
          </cell>
        </row>
        <row r="8">
          <cell r="B8">
            <v>15000</v>
          </cell>
          <cell r="C8">
            <v>15580</v>
          </cell>
          <cell r="H8">
            <v>50000</v>
          </cell>
          <cell r="I8">
            <v>50000</v>
          </cell>
          <cell r="J8">
            <v>50000</v>
          </cell>
          <cell r="K8">
            <v>50000</v>
          </cell>
        </row>
        <row r="9">
          <cell r="B9">
            <v>3600</v>
          </cell>
          <cell r="C9">
            <v>0</v>
          </cell>
        </row>
        <row r="10">
          <cell r="B10">
            <v>0</v>
          </cell>
          <cell r="C10">
            <v>0</v>
          </cell>
        </row>
        <row r="11">
          <cell r="B11">
            <v>0</v>
          </cell>
          <cell r="C11">
            <v>0</v>
          </cell>
          <cell r="D11">
            <v>8636</v>
          </cell>
        </row>
        <row r="13">
          <cell r="B13">
            <v>0</v>
          </cell>
        </row>
        <row r="14">
          <cell r="B14">
            <v>0</v>
          </cell>
        </row>
        <row r="15">
          <cell r="B15">
            <v>0</v>
          </cell>
        </row>
        <row r="16">
          <cell r="B16">
            <v>5000</v>
          </cell>
        </row>
        <row r="17">
          <cell r="B17">
            <v>0</v>
          </cell>
        </row>
        <row r="18">
          <cell r="B18">
            <v>10000</v>
          </cell>
        </row>
        <row r="19">
          <cell r="B19">
            <v>0</v>
          </cell>
          <cell r="I19">
            <v>40438</v>
          </cell>
        </row>
        <row r="21">
          <cell r="D21">
            <v>10664</v>
          </cell>
          <cell r="I21">
            <v>0</v>
          </cell>
        </row>
      </sheetData>
      <sheetData sheetId="6">
        <row r="7">
          <cell r="B7">
            <v>0</v>
          </cell>
        </row>
        <row r="8">
          <cell r="B8">
            <v>0</v>
          </cell>
        </row>
        <row r="9">
          <cell r="B9">
            <v>0</v>
          </cell>
          <cell r="C9">
            <v>0</v>
          </cell>
        </row>
        <row r="10">
          <cell r="B10">
            <v>0</v>
          </cell>
        </row>
      </sheetData>
      <sheetData sheetId="11">
        <row r="22">
          <cell r="B22" t="str">
            <v>长城皮卡车</v>
          </cell>
          <cell r="C22" t="str">
            <v>商用炮</v>
          </cell>
          <cell r="E22">
            <v>44470</v>
          </cell>
          <cell r="F22">
            <v>1</v>
          </cell>
          <cell r="G22">
            <v>135539.07</v>
          </cell>
        </row>
      </sheetData>
      <sheetData sheetId="12">
        <row r="7">
          <cell r="B7">
            <v>1540448.75</v>
          </cell>
          <cell r="C7">
            <v>164708.43</v>
          </cell>
          <cell r="H7">
            <v>1259912.1</v>
          </cell>
          <cell r="I7">
            <v>555792.1</v>
          </cell>
          <cell r="J7">
            <v>385000</v>
          </cell>
          <cell r="K7">
            <v>248292.1</v>
          </cell>
        </row>
        <row r="8">
          <cell r="B8">
            <v>650000</v>
          </cell>
          <cell r="C8">
            <v>22620</v>
          </cell>
          <cell r="D8">
            <v>150000</v>
          </cell>
          <cell r="H8">
            <v>25000</v>
          </cell>
          <cell r="I8">
            <v>25000</v>
          </cell>
          <cell r="J8">
            <v>68292.1</v>
          </cell>
          <cell r="K8">
            <v>393000</v>
          </cell>
        </row>
        <row r="26">
          <cell r="B26">
            <v>1604269.57</v>
          </cell>
          <cell r="C26">
            <v>405721.28</v>
          </cell>
          <cell r="D26">
            <v>564</v>
          </cell>
          <cell r="H26">
            <v>341530.395</v>
          </cell>
          <cell r="I26">
            <v>693866.6699999999</v>
          </cell>
          <cell r="J26">
            <v>528863.4229499999</v>
          </cell>
          <cell r="K26">
            <v>251420.01950000002</v>
          </cell>
        </row>
        <row r="27">
          <cell r="B27">
            <v>500000</v>
          </cell>
          <cell r="C27">
            <v>24003.39</v>
          </cell>
          <cell r="D27">
            <v>265844.23</v>
          </cell>
          <cell r="H27">
            <v>34936.72</v>
          </cell>
          <cell r="I27">
            <v>21721.75</v>
          </cell>
          <cell r="J27">
            <v>21721.75</v>
          </cell>
          <cell r="K27">
            <v>396763.36035</v>
          </cell>
        </row>
      </sheetData>
      <sheetData sheetId="27">
        <row r="7">
          <cell r="B7">
            <v>299176</v>
          </cell>
          <cell r="C7">
            <v>224381.97</v>
          </cell>
          <cell r="D7">
            <v>74793.99</v>
          </cell>
          <cell r="H7">
            <v>74793.99</v>
          </cell>
          <cell r="I7">
            <v>74793.99</v>
          </cell>
          <cell r="J7">
            <v>74793.99</v>
          </cell>
          <cell r="K7">
            <v>74793.99</v>
          </cell>
        </row>
        <row r="8">
          <cell r="B8">
            <v>0</v>
          </cell>
        </row>
        <row r="9">
          <cell r="B9">
            <v>0</v>
          </cell>
        </row>
        <row r="11">
          <cell r="B11">
            <v>224382.00000000003</v>
          </cell>
          <cell r="C11">
            <v>176478.12</v>
          </cell>
          <cell r="D11">
            <v>58826.04</v>
          </cell>
          <cell r="H11">
            <v>58826.04</v>
          </cell>
          <cell r="I11">
            <v>58826.04</v>
          </cell>
          <cell r="J11">
            <v>58826.04</v>
          </cell>
          <cell r="K11">
            <v>58826.04</v>
          </cell>
        </row>
      </sheetData>
      <sheetData sheetId="28">
        <row r="11">
          <cell r="B11">
            <v>224382</v>
          </cell>
          <cell r="C11">
            <v>280137.47</v>
          </cell>
          <cell r="D11">
            <v>62426.04</v>
          </cell>
        </row>
        <row r="15">
          <cell r="D15">
            <v>3600</v>
          </cell>
        </row>
        <row r="25">
          <cell r="D25">
            <v>15000</v>
          </cell>
        </row>
      </sheetData>
      <sheetData sheetId="29">
        <row r="6">
          <cell r="C6">
            <v>0</v>
          </cell>
        </row>
        <row r="7">
          <cell r="F7">
            <v>0</v>
          </cell>
          <cell r="G7">
            <v>0</v>
          </cell>
          <cell r="H7">
            <v>0</v>
          </cell>
          <cell r="I7">
            <v>0</v>
          </cell>
        </row>
        <row r="8">
          <cell r="F8">
            <v>0</v>
          </cell>
          <cell r="G8">
            <v>0</v>
          </cell>
          <cell r="H8">
            <v>0</v>
          </cell>
          <cell r="I8">
            <v>0</v>
          </cell>
        </row>
        <row r="11">
          <cell r="C11">
            <v>0</v>
          </cell>
        </row>
        <row r="13">
          <cell r="F13">
            <v>0</v>
          </cell>
          <cell r="G13">
            <v>0</v>
          </cell>
          <cell r="H13">
            <v>0</v>
          </cell>
          <cell r="I13">
            <v>0</v>
          </cell>
        </row>
        <row r="16">
          <cell r="C16">
            <v>0</v>
          </cell>
        </row>
        <row r="18">
          <cell r="F18">
            <v>0</v>
          </cell>
          <cell r="G18">
            <v>0</v>
          </cell>
          <cell r="H18">
            <v>0</v>
          </cell>
          <cell r="I18">
            <v>0</v>
          </cell>
        </row>
        <row r="21">
          <cell r="C21">
            <v>0</v>
          </cell>
        </row>
        <row r="22">
          <cell r="F22">
            <v>0</v>
          </cell>
          <cell r="G22">
            <v>0</v>
          </cell>
          <cell r="H22">
            <v>0</v>
          </cell>
          <cell r="I22">
            <v>0</v>
          </cell>
        </row>
        <row r="23">
          <cell r="F23">
            <v>0</v>
          </cell>
          <cell r="G23">
            <v>0</v>
          </cell>
          <cell r="H23">
            <v>0</v>
          </cell>
          <cell r="I23">
            <v>0</v>
          </cell>
        </row>
        <row r="26">
          <cell r="C26">
            <v>0</v>
          </cell>
        </row>
        <row r="27">
          <cell r="F27">
            <v>0</v>
          </cell>
          <cell r="G27">
            <v>0</v>
          </cell>
          <cell r="H27">
            <v>0</v>
          </cell>
          <cell r="I27">
            <v>0</v>
          </cell>
        </row>
        <row r="28">
          <cell r="F28">
            <v>0</v>
          </cell>
          <cell r="G28">
            <v>0</v>
          </cell>
          <cell r="H28">
            <v>0</v>
          </cell>
          <cell r="I28">
            <v>0</v>
          </cell>
        </row>
        <row r="31">
          <cell r="C31">
            <v>0</v>
          </cell>
        </row>
        <row r="33">
          <cell r="F33">
            <v>0</v>
          </cell>
          <cell r="G33">
            <v>0</v>
          </cell>
          <cell r="H33">
            <v>0</v>
          </cell>
          <cell r="I33">
            <v>0</v>
          </cell>
        </row>
        <row r="36">
          <cell r="C36">
            <v>0</v>
          </cell>
        </row>
        <row r="38">
          <cell r="F38">
            <v>0</v>
          </cell>
          <cell r="G38">
            <v>0</v>
          </cell>
          <cell r="H38">
            <v>0</v>
          </cell>
          <cell r="I38">
            <v>0</v>
          </cell>
        </row>
        <row r="41">
          <cell r="C41">
            <v>0</v>
          </cell>
        </row>
        <row r="43">
          <cell r="F43">
            <v>0</v>
          </cell>
          <cell r="G43">
            <v>0</v>
          </cell>
          <cell r="H43">
            <v>0</v>
          </cell>
          <cell r="I43">
            <v>0</v>
          </cell>
        </row>
        <row r="46">
          <cell r="C46">
            <v>0</v>
          </cell>
        </row>
        <row r="48">
          <cell r="F48">
            <v>0</v>
          </cell>
          <cell r="G48">
            <v>0</v>
          </cell>
          <cell r="H48">
            <v>0</v>
          </cell>
          <cell r="I48">
            <v>0</v>
          </cell>
        </row>
        <row r="51">
          <cell r="C51">
            <v>0</v>
          </cell>
        </row>
        <row r="52">
          <cell r="F52">
            <v>0</v>
          </cell>
          <cell r="G52">
            <v>0</v>
          </cell>
          <cell r="H52">
            <v>0</v>
          </cell>
          <cell r="I52">
            <v>0</v>
          </cell>
        </row>
        <row r="53">
          <cell r="F53">
            <v>0</v>
          </cell>
          <cell r="G53">
            <v>0</v>
          </cell>
          <cell r="H53">
            <v>0</v>
          </cell>
          <cell r="I53">
            <v>0</v>
          </cell>
        </row>
        <row r="56">
          <cell r="C56">
            <v>0</v>
          </cell>
        </row>
        <row r="58">
          <cell r="F58">
            <v>0</v>
          </cell>
          <cell r="G58">
            <v>0</v>
          </cell>
          <cell r="H58">
            <v>0</v>
          </cell>
          <cell r="I58">
            <v>0</v>
          </cell>
        </row>
        <row r="61">
          <cell r="C61">
            <v>0</v>
          </cell>
        </row>
        <row r="62">
          <cell r="B62">
            <v>625</v>
          </cell>
          <cell r="C62">
            <v>125</v>
          </cell>
          <cell r="F62">
            <v>125</v>
          </cell>
          <cell r="I62">
            <v>125</v>
          </cell>
        </row>
        <row r="63">
          <cell r="B63">
            <v>625</v>
          </cell>
          <cell r="F63">
            <v>125</v>
          </cell>
          <cell r="G63">
            <v>125</v>
          </cell>
          <cell r="H63">
            <v>0</v>
          </cell>
          <cell r="I63">
            <v>0</v>
          </cell>
        </row>
      </sheetData>
      <sheetData sheetId="30">
        <row r="8">
          <cell r="B8">
            <v>81600</v>
          </cell>
          <cell r="C8">
            <v>61273.56</v>
          </cell>
          <cell r="D8">
            <v>20400</v>
          </cell>
          <cell r="H8">
            <v>20400</v>
          </cell>
          <cell r="I8">
            <v>20400</v>
          </cell>
          <cell r="J8">
            <v>20400</v>
          </cell>
          <cell r="K8">
            <v>20400</v>
          </cell>
        </row>
        <row r="10">
          <cell r="B10">
            <v>0</v>
          </cell>
          <cell r="C10">
            <v>0</v>
          </cell>
        </row>
        <row r="11">
          <cell r="B11">
            <v>22800</v>
          </cell>
          <cell r="C11">
            <v>17100</v>
          </cell>
          <cell r="D11">
            <v>5700</v>
          </cell>
          <cell r="H11">
            <v>5700</v>
          </cell>
          <cell r="I11">
            <v>5700</v>
          </cell>
          <cell r="J11">
            <v>5700</v>
          </cell>
          <cell r="K11">
            <v>5700</v>
          </cell>
        </row>
        <row r="12">
          <cell r="B12">
            <v>37000</v>
          </cell>
          <cell r="C12">
            <v>31155</v>
          </cell>
          <cell r="D12">
            <v>10385</v>
          </cell>
          <cell r="H12">
            <v>9250</v>
          </cell>
          <cell r="I12">
            <v>9250</v>
          </cell>
          <cell r="J12">
            <v>9250</v>
          </cell>
          <cell r="K12">
            <v>9250</v>
          </cell>
        </row>
        <row r="13">
          <cell r="B13">
            <v>0</v>
          </cell>
          <cell r="C13">
            <v>500</v>
          </cell>
        </row>
        <row r="14">
          <cell r="B14">
            <v>15576</v>
          </cell>
          <cell r="C14">
            <v>11952</v>
          </cell>
          <cell r="D14">
            <v>3024</v>
          </cell>
          <cell r="H14">
            <v>3084</v>
          </cell>
          <cell r="I14">
            <v>4884</v>
          </cell>
          <cell r="J14">
            <v>4884</v>
          </cell>
          <cell r="K14">
            <v>3684</v>
          </cell>
        </row>
        <row r="15">
          <cell r="B15">
            <v>6400</v>
          </cell>
          <cell r="C15">
            <v>2289.19</v>
          </cell>
          <cell r="D15">
            <v>1500</v>
          </cell>
        </row>
        <row r="16">
          <cell r="B16">
            <v>1400</v>
          </cell>
          <cell r="C16">
            <v>312</v>
          </cell>
          <cell r="D16">
            <v>300</v>
          </cell>
        </row>
        <row r="17">
          <cell r="B17">
            <v>27893.4</v>
          </cell>
          <cell r="C17">
            <v>20953.17</v>
          </cell>
          <cell r="D17">
            <v>7496.83</v>
          </cell>
          <cell r="H17">
            <v>7850.580000000001</v>
          </cell>
          <cell r="I17">
            <v>7850.580000000001</v>
          </cell>
          <cell r="J17">
            <v>7850.580000000001</v>
          </cell>
          <cell r="K17">
            <v>7850.580000000001</v>
          </cell>
        </row>
        <row r="18">
          <cell r="B18">
            <v>12408</v>
          </cell>
          <cell r="C18">
            <v>9288</v>
          </cell>
          <cell r="D18">
            <v>3096</v>
          </cell>
          <cell r="H18">
            <v>3603</v>
          </cell>
          <cell r="I18">
            <v>3603</v>
          </cell>
          <cell r="J18">
            <v>3603</v>
          </cell>
          <cell r="K18">
            <v>3603</v>
          </cell>
        </row>
        <row r="19">
          <cell r="B19">
            <v>2354.64</v>
          </cell>
          <cell r="C19">
            <v>0</v>
          </cell>
          <cell r="H19">
            <v>592.26</v>
          </cell>
          <cell r="I19">
            <v>592.26</v>
          </cell>
          <cell r="J19">
            <v>592.26</v>
          </cell>
          <cell r="K19">
            <v>592.26</v>
          </cell>
        </row>
        <row r="20">
          <cell r="B20">
            <v>3139.52</v>
          </cell>
          <cell r="C20">
            <v>0</v>
          </cell>
          <cell r="H20">
            <v>789.6800000000001</v>
          </cell>
          <cell r="I20">
            <v>789.6800000000001</v>
          </cell>
          <cell r="J20">
            <v>789.6800000000001</v>
          </cell>
          <cell r="K20">
            <v>789.6800000000001</v>
          </cell>
        </row>
        <row r="21">
          <cell r="B21">
            <v>0</v>
          </cell>
          <cell r="C21">
            <v>0</v>
          </cell>
        </row>
        <row r="23">
          <cell r="B23">
            <v>800</v>
          </cell>
          <cell r="C23">
            <v>2208</v>
          </cell>
          <cell r="D23">
            <v>1000</v>
          </cell>
          <cell r="H23">
            <v>1000</v>
          </cell>
          <cell r="I23">
            <v>1000</v>
          </cell>
          <cell r="J23">
            <v>1000</v>
          </cell>
          <cell r="K23">
            <v>1000</v>
          </cell>
        </row>
        <row r="24">
          <cell r="B24">
            <v>5376</v>
          </cell>
          <cell r="C24">
            <v>560</v>
          </cell>
          <cell r="D24">
            <v>476</v>
          </cell>
          <cell r="H24">
            <v>840</v>
          </cell>
          <cell r="I24">
            <v>840</v>
          </cell>
          <cell r="J24">
            <v>840</v>
          </cell>
          <cell r="K24">
            <v>840</v>
          </cell>
        </row>
        <row r="25">
          <cell r="B25">
            <v>4000</v>
          </cell>
          <cell r="C25">
            <v>0</v>
          </cell>
          <cell r="H25">
            <v>1000</v>
          </cell>
          <cell r="I25">
            <v>1000</v>
          </cell>
          <cell r="J25">
            <v>1000</v>
          </cell>
          <cell r="K25">
            <v>1000</v>
          </cell>
        </row>
        <row r="26">
          <cell r="B26">
            <v>0</v>
          </cell>
        </row>
        <row r="27">
          <cell r="B27">
            <v>0</v>
          </cell>
          <cell r="C27">
            <v>0</v>
          </cell>
        </row>
        <row r="28">
          <cell r="B28">
            <v>20000</v>
          </cell>
          <cell r="C28">
            <v>0</v>
          </cell>
          <cell r="H28">
            <v>5000</v>
          </cell>
          <cell r="I28">
            <v>5000</v>
          </cell>
          <cell r="J28">
            <v>5000</v>
          </cell>
          <cell r="K28">
            <v>5000</v>
          </cell>
        </row>
        <row r="29">
          <cell r="B29">
            <v>0</v>
          </cell>
          <cell r="C29">
            <v>0</v>
          </cell>
        </row>
        <row r="30">
          <cell r="B30">
            <v>40000</v>
          </cell>
          <cell r="C30">
            <v>0</v>
          </cell>
          <cell r="H30">
            <v>10000</v>
          </cell>
          <cell r="I30">
            <v>10000</v>
          </cell>
          <cell r="J30">
            <v>10000</v>
          </cell>
          <cell r="K30">
            <v>10000</v>
          </cell>
        </row>
        <row r="31">
          <cell r="B31">
            <v>40000</v>
          </cell>
          <cell r="C31">
            <v>0</v>
          </cell>
          <cell r="H31">
            <v>10000</v>
          </cell>
          <cell r="I31">
            <v>10000</v>
          </cell>
          <cell r="J31">
            <v>10000</v>
          </cell>
          <cell r="K31">
            <v>10000</v>
          </cell>
        </row>
        <row r="32">
          <cell r="B32">
            <v>0</v>
          </cell>
          <cell r="C32">
            <v>256.75</v>
          </cell>
        </row>
        <row r="33">
          <cell r="B33">
            <v>120000</v>
          </cell>
          <cell r="C33">
            <v>648</v>
          </cell>
        </row>
        <row r="34">
          <cell r="B34">
            <v>0</v>
          </cell>
          <cell r="C34">
            <v>0</v>
          </cell>
        </row>
        <row r="35">
          <cell r="B35">
            <v>8000</v>
          </cell>
          <cell r="C35">
            <v>0</v>
          </cell>
          <cell r="H35">
            <v>2000</v>
          </cell>
          <cell r="I35">
            <v>2000</v>
          </cell>
          <cell r="J35">
            <v>2000</v>
          </cell>
          <cell r="K35">
            <v>2000</v>
          </cell>
        </row>
        <row r="36">
          <cell r="B36">
            <v>0</v>
          </cell>
          <cell r="C36">
            <v>0</v>
          </cell>
        </row>
        <row r="37">
          <cell r="B37">
            <v>0</v>
          </cell>
          <cell r="C37">
            <v>0</v>
          </cell>
        </row>
        <row r="38">
          <cell r="B38">
            <v>0</v>
          </cell>
          <cell r="C38">
            <v>0</v>
          </cell>
        </row>
        <row r="39">
          <cell r="B39">
            <v>40000</v>
          </cell>
          <cell r="C39">
            <v>0</v>
          </cell>
          <cell r="H39">
            <v>10000</v>
          </cell>
          <cell r="I39">
            <v>10000</v>
          </cell>
          <cell r="J39">
            <v>10000</v>
          </cell>
          <cell r="K39">
            <v>10000</v>
          </cell>
        </row>
        <row r="40">
          <cell r="B40">
            <v>0</v>
          </cell>
          <cell r="C40">
            <v>0</v>
          </cell>
        </row>
        <row r="41">
          <cell r="B41">
            <v>0</v>
          </cell>
          <cell r="C41">
            <v>0</v>
          </cell>
        </row>
        <row r="42">
          <cell r="B42">
            <v>0</v>
          </cell>
          <cell r="C42">
            <v>0</v>
          </cell>
        </row>
        <row r="43">
          <cell r="B43">
            <v>0</v>
          </cell>
          <cell r="C43">
            <v>0</v>
          </cell>
        </row>
        <row r="44">
          <cell r="B44">
            <v>0</v>
          </cell>
          <cell r="C44">
            <v>0</v>
          </cell>
          <cell r="D44">
            <v>261.48</v>
          </cell>
        </row>
        <row r="46">
          <cell r="B46">
            <v>0</v>
          </cell>
        </row>
        <row r="47">
          <cell r="B47">
            <v>10315.96</v>
          </cell>
          <cell r="C47">
            <v>4895.35</v>
          </cell>
          <cell r="D47">
            <v>504</v>
          </cell>
          <cell r="H47">
            <v>2720.666666666667</v>
          </cell>
          <cell r="I47">
            <v>2720.666666666667</v>
          </cell>
          <cell r="J47">
            <v>2552.666666666667</v>
          </cell>
          <cell r="K47">
            <v>2216.666666666667</v>
          </cell>
        </row>
        <row r="48">
          <cell r="B48">
            <v>0</v>
          </cell>
        </row>
      </sheetData>
      <sheetData sheetId="31">
        <row r="8">
          <cell r="B8">
            <v>377760</v>
          </cell>
          <cell r="C8">
            <v>230600</v>
          </cell>
          <cell r="D8">
            <v>71280</v>
          </cell>
          <cell r="H8">
            <v>74040</v>
          </cell>
          <cell r="I8">
            <v>74040</v>
          </cell>
          <cell r="J8">
            <v>74040</v>
          </cell>
          <cell r="K8">
            <v>74040</v>
          </cell>
        </row>
        <row r="10">
          <cell r="B10">
            <v>0</v>
          </cell>
          <cell r="C10">
            <v>0</v>
          </cell>
        </row>
        <row r="11">
          <cell r="B11">
            <v>43200</v>
          </cell>
          <cell r="C11">
            <v>23901.17</v>
          </cell>
          <cell r="D11">
            <v>4800</v>
          </cell>
          <cell r="H11">
            <v>5100</v>
          </cell>
          <cell r="I11">
            <v>5100</v>
          </cell>
          <cell r="J11">
            <v>5100</v>
          </cell>
          <cell r="K11">
            <v>5100</v>
          </cell>
        </row>
        <row r="12">
          <cell r="B12">
            <v>225300</v>
          </cell>
          <cell r="C12">
            <v>142247.99</v>
          </cell>
          <cell r="D12">
            <v>46575</v>
          </cell>
          <cell r="H12">
            <v>47075</v>
          </cell>
          <cell r="I12">
            <v>47075</v>
          </cell>
          <cell r="J12">
            <v>47075</v>
          </cell>
          <cell r="K12">
            <v>47075</v>
          </cell>
        </row>
        <row r="13">
          <cell r="B13">
            <v>0</v>
          </cell>
          <cell r="C13">
            <v>1000</v>
          </cell>
          <cell r="H13">
            <v>43292.09999999998</v>
          </cell>
        </row>
        <row r="14">
          <cell r="B14">
            <v>60516</v>
          </cell>
          <cell r="C14">
            <v>35804</v>
          </cell>
          <cell r="D14">
            <v>9840</v>
          </cell>
          <cell r="H14">
            <v>8550</v>
          </cell>
          <cell r="I14">
            <v>13050</v>
          </cell>
          <cell r="J14">
            <v>13050</v>
          </cell>
          <cell r="K14">
            <v>10050</v>
          </cell>
        </row>
        <row r="15">
          <cell r="B15">
            <v>22400</v>
          </cell>
          <cell r="C15">
            <v>4801.04</v>
          </cell>
          <cell r="D15">
            <v>2500</v>
          </cell>
        </row>
        <row r="16">
          <cell r="B16">
            <v>9800</v>
          </cell>
          <cell r="C16">
            <v>37942</v>
          </cell>
          <cell r="D16">
            <v>800</v>
          </cell>
          <cell r="H16">
            <v>2500</v>
          </cell>
          <cell r="I16">
            <v>10300</v>
          </cell>
          <cell r="J16">
            <v>2500</v>
          </cell>
          <cell r="K16">
            <v>43000</v>
          </cell>
        </row>
        <row r="17">
          <cell r="B17">
            <v>125848.08</v>
          </cell>
          <cell r="C17">
            <v>74790.15</v>
          </cell>
          <cell r="D17">
            <v>23789.03</v>
          </cell>
          <cell r="H17">
            <v>25125.659999999996</v>
          </cell>
          <cell r="I17">
            <v>25125.659999999996</v>
          </cell>
          <cell r="J17">
            <v>25125.659999999996</v>
          </cell>
          <cell r="K17">
            <v>25125.659999999996</v>
          </cell>
        </row>
        <row r="18">
          <cell r="B18">
            <v>57912</v>
          </cell>
          <cell r="C18">
            <v>34038</v>
          </cell>
          <cell r="D18">
            <v>10320</v>
          </cell>
          <cell r="H18">
            <v>11712</v>
          </cell>
          <cell r="I18">
            <v>11712</v>
          </cell>
          <cell r="J18">
            <v>11712</v>
          </cell>
          <cell r="K18">
            <v>11712</v>
          </cell>
        </row>
        <row r="20">
          <cell r="B20">
            <v>0</v>
          </cell>
          <cell r="H20">
            <v>0</v>
          </cell>
          <cell r="I20">
            <v>0</v>
          </cell>
          <cell r="J20">
            <v>0</v>
          </cell>
          <cell r="K20">
            <v>0</v>
          </cell>
        </row>
        <row r="21">
          <cell r="B21">
            <v>0</v>
          </cell>
        </row>
        <row r="22">
          <cell r="B22">
            <v>10601.64</v>
          </cell>
          <cell r="H22">
            <v>2006.5500000000002</v>
          </cell>
          <cell r="I22">
            <v>2006.5500000000002</v>
          </cell>
          <cell r="J22">
            <v>2006.5500000000002</v>
          </cell>
          <cell r="K22">
            <v>2006.5500000000002</v>
          </cell>
        </row>
        <row r="23">
          <cell r="B23">
            <v>14135.52</v>
          </cell>
          <cell r="C23">
            <v>16940.97</v>
          </cell>
          <cell r="D23">
            <v>5646.99</v>
          </cell>
          <cell r="H23">
            <v>2675.3999999999996</v>
          </cell>
          <cell r="I23">
            <v>2675.3999999999996</v>
          </cell>
          <cell r="J23">
            <v>2675.3999999999996</v>
          </cell>
          <cell r="K23">
            <v>2675.3999999999996</v>
          </cell>
        </row>
        <row r="25">
          <cell r="B25">
            <v>21200</v>
          </cell>
          <cell r="C25">
            <v>10798.8</v>
          </cell>
          <cell r="D25">
            <v>5000</v>
          </cell>
          <cell r="H25">
            <v>5300</v>
          </cell>
          <cell r="I25">
            <v>5300</v>
          </cell>
          <cell r="J25">
            <v>5300</v>
          </cell>
          <cell r="K25">
            <v>5300</v>
          </cell>
        </row>
        <row r="26">
          <cell r="B26">
            <v>6272</v>
          </cell>
          <cell r="C26">
            <v>1512</v>
          </cell>
          <cell r="D26">
            <v>300</v>
          </cell>
          <cell r="H26">
            <v>3360</v>
          </cell>
          <cell r="I26">
            <v>3360</v>
          </cell>
          <cell r="J26">
            <v>3360</v>
          </cell>
          <cell r="K26">
            <v>3360</v>
          </cell>
        </row>
        <row r="27">
          <cell r="B27">
            <v>0</v>
          </cell>
          <cell r="C27">
            <v>0</v>
          </cell>
        </row>
        <row r="28">
          <cell r="B28">
            <v>2000</v>
          </cell>
          <cell r="C28">
            <v>1251</v>
          </cell>
          <cell r="D28">
            <v>408</v>
          </cell>
          <cell r="H28">
            <v>417</v>
          </cell>
          <cell r="I28">
            <v>417</v>
          </cell>
          <cell r="J28">
            <v>417</v>
          </cell>
          <cell r="K28">
            <v>417</v>
          </cell>
        </row>
        <row r="30">
          <cell r="B30">
            <v>0</v>
          </cell>
          <cell r="H30">
            <v>6000</v>
          </cell>
          <cell r="I30">
            <v>6000</v>
          </cell>
          <cell r="J30">
            <v>6000</v>
          </cell>
          <cell r="K30">
            <v>6000</v>
          </cell>
        </row>
        <row r="31">
          <cell r="B31">
            <v>0</v>
          </cell>
        </row>
        <row r="32">
          <cell r="B32">
            <v>0</v>
          </cell>
          <cell r="C32">
            <v>3898.75</v>
          </cell>
          <cell r="J32">
            <v>3898.75</v>
          </cell>
        </row>
        <row r="33">
          <cell r="B33">
            <v>0</v>
          </cell>
        </row>
        <row r="34">
          <cell r="B34">
            <v>3600</v>
          </cell>
          <cell r="C34">
            <v>3600</v>
          </cell>
          <cell r="H34">
            <v>3600</v>
          </cell>
        </row>
        <row r="35">
          <cell r="B35">
            <v>0</v>
          </cell>
        </row>
        <row r="36">
          <cell r="B36">
            <v>400</v>
          </cell>
          <cell r="C36">
            <v>32</v>
          </cell>
          <cell r="H36">
            <v>100</v>
          </cell>
          <cell r="I36">
            <v>100</v>
          </cell>
          <cell r="J36">
            <v>100</v>
          </cell>
          <cell r="K36">
            <v>100</v>
          </cell>
        </row>
        <row r="37">
          <cell r="B37">
            <v>0</v>
          </cell>
        </row>
        <row r="38">
          <cell r="B38">
            <v>0</v>
          </cell>
        </row>
        <row r="39">
          <cell r="B39">
            <v>20500</v>
          </cell>
          <cell r="D39">
            <v>18000</v>
          </cell>
          <cell r="K39">
            <v>20500</v>
          </cell>
        </row>
        <row r="40">
          <cell r="B40">
            <v>0</v>
          </cell>
        </row>
        <row r="41">
          <cell r="B41">
            <v>14000</v>
          </cell>
          <cell r="H41">
            <v>3000</v>
          </cell>
          <cell r="I41">
            <v>3000</v>
          </cell>
          <cell r="J41">
            <v>3000</v>
          </cell>
          <cell r="K41">
            <v>5000</v>
          </cell>
        </row>
        <row r="42">
          <cell r="B42">
            <v>0</v>
          </cell>
        </row>
        <row r="43">
          <cell r="B43">
            <v>8000</v>
          </cell>
          <cell r="C43">
            <v>590</v>
          </cell>
          <cell r="H43">
            <v>2000</v>
          </cell>
          <cell r="I43">
            <v>2000</v>
          </cell>
          <cell r="J43">
            <v>2000</v>
          </cell>
          <cell r="K43">
            <v>2000</v>
          </cell>
        </row>
        <row r="44">
          <cell r="B44">
            <v>0</v>
          </cell>
        </row>
        <row r="45">
          <cell r="B45">
            <v>0</v>
          </cell>
        </row>
        <row r="46">
          <cell r="B46">
            <v>0</v>
          </cell>
        </row>
        <row r="48">
          <cell r="B48">
            <v>0</v>
          </cell>
        </row>
        <row r="49">
          <cell r="B49">
            <v>5000</v>
          </cell>
        </row>
        <row r="50">
          <cell r="B50">
            <v>0</v>
          </cell>
        </row>
        <row r="51">
          <cell r="B51">
            <v>0</v>
          </cell>
        </row>
        <row r="52">
          <cell r="B52">
            <v>0</v>
          </cell>
        </row>
        <row r="53">
          <cell r="B53">
            <v>0</v>
          </cell>
        </row>
        <row r="55">
          <cell r="B55">
            <v>10000</v>
          </cell>
          <cell r="H55">
            <v>2500</v>
          </cell>
          <cell r="I55">
            <v>2500</v>
          </cell>
          <cell r="J55">
            <v>2500</v>
          </cell>
          <cell r="K55">
            <v>2500</v>
          </cell>
        </row>
        <row r="56">
          <cell r="B56">
            <v>30000</v>
          </cell>
          <cell r="C56">
            <v>1617.5</v>
          </cell>
          <cell r="D56">
            <v>2200</v>
          </cell>
          <cell r="H56">
            <v>3750</v>
          </cell>
          <cell r="I56">
            <v>3750</v>
          </cell>
          <cell r="J56">
            <v>3750</v>
          </cell>
          <cell r="K56">
            <v>3750</v>
          </cell>
        </row>
        <row r="57">
          <cell r="B57">
            <v>16000</v>
          </cell>
          <cell r="C57">
            <v>2895</v>
          </cell>
          <cell r="D57">
            <v>2250</v>
          </cell>
          <cell r="H57">
            <v>4000</v>
          </cell>
          <cell r="I57">
            <v>4000</v>
          </cell>
          <cell r="J57">
            <v>4000</v>
          </cell>
          <cell r="K57">
            <v>4000</v>
          </cell>
        </row>
        <row r="58">
          <cell r="B58">
            <v>0</v>
          </cell>
          <cell r="C58">
            <v>0</v>
          </cell>
        </row>
        <row r="59">
          <cell r="B59">
            <v>0</v>
          </cell>
          <cell r="C59">
            <v>0</v>
          </cell>
        </row>
        <row r="60">
          <cell r="B60">
            <v>2000</v>
          </cell>
          <cell r="C60">
            <v>0</v>
          </cell>
          <cell r="H60">
            <v>2000</v>
          </cell>
        </row>
        <row r="61">
          <cell r="B61">
            <v>9400</v>
          </cell>
          <cell r="C61">
            <v>0</v>
          </cell>
          <cell r="J61">
            <v>8400</v>
          </cell>
        </row>
        <row r="62">
          <cell r="B62">
            <v>0</v>
          </cell>
        </row>
        <row r="63">
          <cell r="B63">
            <v>0</v>
          </cell>
        </row>
        <row r="64">
          <cell r="B64">
            <v>0</v>
          </cell>
          <cell r="C64">
            <v>0</v>
          </cell>
        </row>
        <row r="65">
          <cell r="B65">
            <v>0</v>
          </cell>
        </row>
        <row r="66">
          <cell r="B66">
            <v>0</v>
          </cell>
          <cell r="C66">
            <v>872</v>
          </cell>
        </row>
        <row r="69">
          <cell r="B69">
            <v>20256.81</v>
          </cell>
          <cell r="C69">
            <v>33908.96</v>
          </cell>
          <cell r="D69">
            <v>11665.14</v>
          </cell>
          <cell r="H69">
            <v>11665.17</v>
          </cell>
          <cell r="I69">
            <v>19090.536666666667</v>
          </cell>
          <cell r="J69">
            <v>19723.87</v>
          </cell>
          <cell r="K69">
            <v>13565.17</v>
          </cell>
        </row>
        <row r="70">
          <cell r="B70">
            <v>0</v>
          </cell>
          <cell r="I70">
            <v>3369.8333333333335</v>
          </cell>
          <cell r="J70">
            <v>3369.8333333333335</v>
          </cell>
          <cell r="K70">
            <v>3369.8333333333335</v>
          </cell>
        </row>
        <row r="71">
          <cell r="B71">
            <v>0</v>
          </cell>
          <cell r="C71">
            <v>2150</v>
          </cell>
        </row>
        <row r="72">
          <cell r="B72">
            <v>46055.64</v>
          </cell>
          <cell r="C72">
            <v>55012.23</v>
          </cell>
          <cell r="D72">
            <v>27184.59</v>
          </cell>
          <cell r="H72">
            <v>20343</v>
          </cell>
          <cell r="I72">
            <v>55369.5</v>
          </cell>
          <cell r="J72">
            <v>55369.5</v>
          </cell>
          <cell r="K72">
            <v>7069.5</v>
          </cell>
        </row>
      </sheetData>
      <sheetData sheetId="32">
        <row r="6">
          <cell r="B6">
            <v>-4000</v>
          </cell>
          <cell r="C6">
            <v>-2810.63</v>
          </cell>
          <cell r="D6">
            <v>-700</v>
          </cell>
          <cell r="H6">
            <v>-800</v>
          </cell>
          <cell r="I6">
            <v>-800</v>
          </cell>
          <cell r="J6">
            <v>-800</v>
          </cell>
          <cell r="K6">
            <v>-800</v>
          </cell>
        </row>
        <row r="7">
          <cell r="B7">
            <v>0</v>
          </cell>
        </row>
        <row r="8">
          <cell r="B8">
            <v>2000</v>
          </cell>
          <cell r="C8">
            <v>789</v>
          </cell>
          <cell r="D8">
            <v>300</v>
          </cell>
          <cell r="H8">
            <v>300</v>
          </cell>
          <cell r="I8">
            <v>300</v>
          </cell>
          <cell r="J8">
            <v>300</v>
          </cell>
          <cell r="K8">
            <v>300</v>
          </cell>
        </row>
        <row r="9">
          <cell r="B9">
            <v>200</v>
          </cell>
          <cell r="D9">
            <v>100</v>
          </cell>
          <cell r="K9">
            <v>100</v>
          </cell>
        </row>
        <row r="10">
          <cell r="B10">
            <v>0</v>
          </cell>
        </row>
        <row r="11">
          <cell r="B11">
            <v>0</v>
          </cell>
        </row>
      </sheetData>
      <sheetData sheetId="33">
        <row r="6">
          <cell r="C6">
            <v>613912</v>
          </cell>
          <cell r="D6">
            <v>812992.23</v>
          </cell>
          <cell r="E6">
            <v>428884.6599999997</v>
          </cell>
        </row>
        <row r="7">
          <cell r="E7">
            <v>0</v>
          </cell>
        </row>
        <row r="9">
          <cell r="C9">
            <v>24931.33</v>
          </cell>
          <cell r="E9">
            <v>0</v>
          </cell>
        </row>
        <row r="10">
          <cell r="C10">
            <v>0</v>
          </cell>
          <cell r="D10">
            <v>13100</v>
          </cell>
          <cell r="E10">
            <v>0</v>
          </cell>
        </row>
        <row r="12">
          <cell r="D12">
            <v>0</v>
          </cell>
        </row>
        <row r="13">
          <cell r="C13">
            <v>168561.84</v>
          </cell>
          <cell r="D13">
            <v>168561.84</v>
          </cell>
          <cell r="E13">
            <v>168561.84</v>
          </cell>
        </row>
        <row r="14">
          <cell r="C14">
            <v>218450.11</v>
          </cell>
          <cell r="D14">
            <v>370636.74</v>
          </cell>
          <cell r="E14">
            <v>443022.99</v>
          </cell>
          <cell r="F14">
            <v>391620.0199999999</v>
          </cell>
          <cell r="G14">
            <v>270547.9599999999</v>
          </cell>
          <cell r="H14">
            <v>479379.14704999985</v>
          </cell>
          <cell r="I14">
            <v>1132031.104</v>
          </cell>
        </row>
        <row r="24">
          <cell r="C24">
            <v>312150.95</v>
          </cell>
          <cell r="D24">
            <v>338930.95</v>
          </cell>
          <cell r="E24">
            <v>356066.95</v>
          </cell>
          <cell r="F24">
            <v>406066.95</v>
          </cell>
          <cell r="G24">
            <v>534504.95</v>
          </cell>
          <cell r="H24">
            <v>584504.95</v>
          </cell>
          <cell r="I24">
            <v>634504.95</v>
          </cell>
        </row>
        <row r="25">
          <cell r="C25">
            <v>67996.79</v>
          </cell>
          <cell r="D25">
            <v>127391.77</v>
          </cell>
          <cell r="E25">
            <v>139056.91</v>
          </cell>
          <cell r="F25">
            <v>158585.63</v>
          </cell>
          <cell r="G25">
            <v>185539.71666666667</v>
          </cell>
          <cell r="H25">
            <v>213127.13666666666</v>
          </cell>
          <cell r="I25">
            <v>234555.85666666666</v>
          </cell>
        </row>
        <row r="29">
          <cell r="C29">
            <v>3361130.98</v>
          </cell>
          <cell r="D29">
            <v>3776451.98</v>
          </cell>
          <cell r="E29">
            <v>3776451.98</v>
          </cell>
          <cell r="F29">
            <v>3776451.98</v>
          </cell>
          <cell r="G29">
            <v>3776451.98</v>
          </cell>
          <cell r="H29">
            <v>3776451.98</v>
          </cell>
          <cell r="I29">
            <v>3776451.98</v>
          </cell>
        </row>
        <row r="32">
          <cell r="C32">
            <v>201894.43</v>
          </cell>
          <cell r="D32">
            <v>632957.27</v>
          </cell>
          <cell r="E32">
            <v>742768.56</v>
          </cell>
          <cell r="F32">
            <v>913805.0950000001</v>
          </cell>
          <cell r="G32">
            <v>1006891.6300000001</v>
          </cell>
          <cell r="H32">
            <v>1099328.165</v>
          </cell>
          <cell r="I32">
            <v>1233950.3682</v>
          </cell>
        </row>
        <row r="34">
          <cell r="C34">
            <v>201894.43</v>
          </cell>
          <cell r="D34">
            <v>632957.27</v>
          </cell>
          <cell r="E34">
            <v>742768.56</v>
          </cell>
          <cell r="F34">
            <v>913805.0950000001</v>
          </cell>
          <cell r="G34">
            <v>1006891.6300000001</v>
          </cell>
          <cell r="H34">
            <v>1099328.165</v>
          </cell>
          <cell r="I34">
            <v>1233950.3682</v>
          </cell>
        </row>
        <row r="36">
          <cell r="C36">
            <v>201894.43</v>
          </cell>
          <cell r="D36">
            <v>632957.27</v>
          </cell>
          <cell r="E36">
            <v>742768.56</v>
          </cell>
          <cell r="F36">
            <v>913805.0950000001</v>
          </cell>
          <cell r="G36">
            <v>1006891.6300000001</v>
          </cell>
          <cell r="H36">
            <v>1099328.165</v>
          </cell>
          <cell r="I36">
            <v>1233950.3682</v>
          </cell>
        </row>
        <row r="37">
          <cell r="C37">
            <v>6575.35</v>
          </cell>
          <cell r="D37">
            <v>1680</v>
          </cell>
          <cell r="E37">
            <v>33626.46</v>
          </cell>
          <cell r="F37">
            <v>33626.46</v>
          </cell>
          <cell r="G37">
            <v>70694.62666666666</v>
          </cell>
          <cell r="H37">
            <v>67324.79333333333</v>
          </cell>
          <cell r="I37">
            <v>63954.96</v>
          </cell>
        </row>
        <row r="40">
          <cell r="C40">
            <v>676857.32</v>
          </cell>
          <cell r="D40">
            <v>400114.44</v>
          </cell>
          <cell r="E40">
            <v>1148763.6500000001</v>
          </cell>
          <cell r="F40">
            <v>1078898.9000000001</v>
          </cell>
          <cell r="G40">
            <v>1014957.6500000001</v>
          </cell>
          <cell r="H40">
            <v>951016.4000000001</v>
          </cell>
          <cell r="I40">
            <v>886175.1500000001</v>
          </cell>
        </row>
      </sheetData>
      <sheetData sheetId="34">
        <row r="9">
          <cell r="C9">
            <v>1720</v>
          </cell>
          <cell r="D9">
            <v>11007</v>
          </cell>
          <cell r="E9">
            <v>1720</v>
          </cell>
          <cell r="F9">
            <v>1720</v>
          </cell>
          <cell r="G9">
            <v>1720</v>
          </cell>
          <cell r="H9">
            <v>1720</v>
          </cell>
          <cell r="I9">
            <v>1720</v>
          </cell>
        </row>
        <row r="10">
          <cell r="D10">
            <v>648214.7</v>
          </cell>
          <cell r="E10">
            <v>573420.71</v>
          </cell>
          <cell r="F10">
            <v>498626.72</v>
          </cell>
          <cell r="G10">
            <v>423832.73</v>
          </cell>
          <cell r="H10">
            <v>349038.74</v>
          </cell>
          <cell r="I10">
            <v>274244.75</v>
          </cell>
        </row>
        <row r="12">
          <cell r="C12">
            <v>333525</v>
          </cell>
          <cell r="D12">
            <v>283808.78</v>
          </cell>
          <cell r="E12">
            <v>360468.78</v>
          </cell>
          <cell r="F12">
            <v>71335</v>
          </cell>
          <cell r="G12">
            <v>175869.48</v>
          </cell>
          <cell r="H12">
            <v>280403.96</v>
          </cell>
          <cell r="I12">
            <v>418137.92000000004</v>
          </cell>
        </row>
        <row r="14">
          <cell r="C14">
            <v>1855</v>
          </cell>
          <cell r="D14">
            <v>0</v>
          </cell>
          <cell r="E14">
            <v>0</v>
          </cell>
          <cell r="F14">
            <v>125</v>
          </cell>
          <cell r="G14">
            <v>0</v>
          </cell>
          <cell r="H14">
            <v>0</v>
          </cell>
          <cell r="I14">
            <v>125</v>
          </cell>
        </row>
        <row r="17">
          <cell r="C17">
            <v>1429961.76</v>
          </cell>
          <cell r="D17">
            <v>1802794.76</v>
          </cell>
          <cell r="E17">
            <v>1802794.76</v>
          </cell>
        </row>
        <row r="19">
          <cell r="D19">
            <v>0</v>
          </cell>
        </row>
        <row r="28">
          <cell r="E28">
            <v>2179940.79</v>
          </cell>
          <cell r="F28">
            <v>2204678.686666666</v>
          </cell>
          <cell r="G28">
            <v>2399543.4433333324</v>
          </cell>
          <cell r="H28">
            <v>2553927.1999999993</v>
          </cell>
          <cell r="I28">
            <v>3607310.2066666656</v>
          </cell>
        </row>
        <row r="33">
          <cell r="C33">
            <v>0</v>
          </cell>
          <cell r="D33">
            <v>0</v>
          </cell>
          <cell r="I33">
            <v>0</v>
          </cell>
        </row>
        <row r="35">
          <cell r="C35">
            <v>-2816196.69</v>
          </cell>
          <cell r="D35">
            <v>-3613313.56</v>
          </cell>
        </row>
      </sheetData>
      <sheetData sheetId="35">
        <row r="11">
          <cell r="B11">
            <v>2198.9436</v>
          </cell>
        </row>
        <row r="17">
          <cell r="B17">
            <v>0</v>
          </cell>
        </row>
        <row r="18">
          <cell r="B18">
            <v>0</v>
          </cell>
        </row>
        <row r="19">
          <cell r="B19">
            <v>0</v>
          </cell>
          <cell r="D19">
            <v>0</v>
          </cell>
        </row>
        <row r="25">
          <cell r="E25">
            <v>-1142494.1700000002</v>
          </cell>
        </row>
      </sheetData>
      <sheetData sheetId="37">
        <row r="6">
          <cell r="B6">
            <v>1684.89</v>
          </cell>
          <cell r="C6">
            <v>655.4</v>
          </cell>
          <cell r="D6">
            <v>1684.89</v>
          </cell>
          <cell r="E6">
            <v>2055.4</v>
          </cell>
          <cell r="F6">
            <v>2055.4</v>
          </cell>
          <cell r="G6">
            <v>2055.4</v>
          </cell>
          <cell r="H6">
            <v>2055.4</v>
          </cell>
          <cell r="I6">
            <v>2055.4</v>
          </cell>
        </row>
        <row r="7">
          <cell r="B7">
            <v>421103.34</v>
          </cell>
          <cell r="C7">
            <v>759629.2</v>
          </cell>
          <cell r="D7">
            <v>421103.34</v>
          </cell>
          <cell r="E7">
            <v>336651.26999999967</v>
          </cell>
          <cell r="F7">
            <v>336651.26999999967</v>
          </cell>
          <cell r="G7">
            <v>1755248.0499999998</v>
          </cell>
          <cell r="H7">
            <v>1542248.4949999999</v>
          </cell>
          <cell r="I7">
            <v>1111688.1899999997</v>
          </cell>
        </row>
        <row r="8">
          <cell r="B8">
            <v>0</v>
          </cell>
        </row>
        <row r="9">
          <cell r="B9">
            <v>191123.77</v>
          </cell>
          <cell r="C9">
            <v>52707.63</v>
          </cell>
          <cell r="D9">
            <v>191123.77</v>
          </cell>
          <cell r="E9">
            <v>90177.99</v>
          </cell>
          <cell r="F9">
            <v>90177.99</v>
          </cell>
          <cell r="G9">
            <v>90177.99</v>
          </cell>
          <cell r="H9">
            <v>90177.99</v>
          </cell>
          <cell r="I9">
            <v>90177.99</v>
          </cell>
        </row>
        <row r="11">
          <cell r="E11">
            <v>0</v>
          </cell>
        </row>
        <row r="13">
          <cell r="E13">
            <v>-768191.2800000003</v>
          </cell>
        </row>
        <row r="23">
          <cell r="E23">
            <v>-278438</v>
          </cell>
        </row>
        <row r="35">
          <cell r="E35">
            <v>2000000</v>
          </cell>
        </row>
        <row r="46">
          <cell r="D46">
            <v>428884.6599999997</v>
          </cell>
        </row>
      </sheetData>
      <sheetData sheetId="38">
        <row r="7">
          <cell r="B7">
            <v>1057723.38</v>
          </cell>
          <cell r="C7">
            <v>150000</v>
          </cell>
          <cell r="F7">
            <v>1359706.09</v>
          </cell>
          <cell r="G7">
            <v>655586.09</v>
          </cell>
          <cell r="H7">
            <v>528086.09</v>
          </cell>
          <cell r="I7">
            <v>716086.09</v>
          </cell>
        </row>
        <row r="10">
          <cell r="B10">
            <v>463330.93</v>
          </cell>
          <cell r="C10">
            <v>3600</v>
          </cell>
          <cell r="F10">
            <v>257538.08000000002</v>
          </cell>
          <cell r="G10">
            <v>245691.08000000002</v>
          </cell>
          <cell r="H10">
            <v>245691.08000000002</v>
          </cell>
          <cell r="I10">
            <v>247491.08000000002</v>
          </cell>
        </row>
        <row r="12">
          <cell r="H12">
            <v>0</v>
          </cell>
        </row>
        <row r="16">
          <cell r="B16">
            <v>408600.31</v>
          </cell>
          <cell r="C16">
            <v>250000</v>
          </cell>
          <cell r="F16">
            <v>222287.8</v>
          </cell>
          <cell r="G16">
            <v>228430</v>
          </cell>
          <cell r="H16">
            <v>384430</v>
          </cell>
          <cell r="I16">
            <v>836448.6</v>
          </cell>
        </row>
        <row r="18">
          <cell r="B18">
            <v>484981.28</v>
          </cell>
          <cell r="C18">
            <v>148924.91999999998</v>
          </cell>
          <cell r="F18">
            <v>675079.88</v>
          </cell>
          <cell r="G18">
            <v>315318.48</v>
          </cell>
          <cell r="H18">
            <v>315318.48</v>
          </cell>
          <cell r="I18">
            <v>340489.96</v>
          </cell>
        </row>
        <row r="19">
          <cell r="B19">
            <v>299662.78</v>
          </cell>
          <cell r="C19">
            <v>0</v>
          </cell>
          <cell r="F19">
            <v>0</v>
          </cell>
          <cell r="G19">
            <v>0</v>
          </cell>
          <cell r="H19">
            <v>0</v>
          </cell>
          <cell r="I19">
            <v>0</v>
          </cell>
        </row>
        <row r="20">
          <cell r="B20">
            <v>83876</v>
          </cell>
          <cell r="C20">
            <v>5448</v>
          </cell>
          <cell r="F20">
            <v>2500</v>
          </cell>
          <cell r="G20">
            <v>13550</v>
          </cell>
          <cell r="H20">
            <v>2500</v>
          </cell>
          <cell r="I20">
            <v>43000</v>
          </cell>
        </row>
        <row r="21">
          <cell r="B21">
            <v>206824.32</v>
          </cell>
          <cell r="C21">
            <v>69586.69</v>
          </cell>
          <cell r="F21">
            <v>52531.89</v>
          </cell>
          <cell r="G21">
            <v>52531.89</v>
          </cell>
          <cell r="H21">
            <v>52531.89</v>
          </cell>
          <cell r="I21">
            <v>52531.89</v>
          </cell>
        </row>
        <row r="22">
          <cell r="B22">
            <v>125514</v>
          </cell>
          <cell r="C22">
            <v>41838</v>
          </cell>
          <cell r="F22">
            <v>23808</v>
          </cell>
          <cell r="G22">
            <v>23808</v>
          </cell>
          <cell r="H22">
            <v>23808</v>
          </cell>
          <cell r="I22">
            <v>23808</v>
          </cell>
        </row>
        <row r="23">
          <cell r="B23">
            <v>0</v>
          </cell>
          <cell r="C23">
            <v>22587.96</v>
          </cell>
          <cell r="F23">
            <v>9333.98</v>
          </cell>
          <cell r="G23">
            <v>9333.98</v>
          </cell>
          <cell r="H23">
            <v>9333.98</v>
          </cell>
          <cell r="I23">
            <v>9333.98</v>
          </cell>
        </row>
        <row r="25">
          <cell r="B25">
            <v>625</v>
          </cell>
          <cell r="C25">
            <v>125</v>
          </cell>
          <cell r="F25">
            <v>125</v>
          </cell>
          <cell r="G25">
            <v>125</v>
          </cell>
          <cell r="H25">
            <v>0</v>
          </cell>
          <cell r="I25">
            <v>0</v>
          </cell>
        </row>
        <row r="26">
          <cell r="C26">
            <v>0</v>
          </cell>
          <cell r="F26">
            <v>0</v>
          </cell>
          <cell r="G26">
            <v>0</v>
          </cell>
          <cell r="H26">
            <v>0</v>
          </cell>
          <cell r="I26">
            <v>0</v>
          </cell>
        </row>
        <row r="27">
          <cell r="B27">
            <v>9980.89</v>
          </cell>
          <cell r="C27">
            <v>0</v>
          </cell>
          <cell r="F27">
            <v>0</v>
          </cell>
          <cell r="G27">
            <v>0</v>
          </cell>
          <cell r="H27">
            <v>0</v>
          </cell>
          <cell r="I27">
            <v>0</v>
          </cell>
        </row>
        <row r="28">
          <cell r="C28">
            <v>0</v>
          </cell>
          <cell r="F28">
            <v>0</v>
          </cell>
          <cell r="G28">
            <v>0</v>
          </cell>
          <cell r="H28">
            <v>0</v>
          </cell>
          <cell r="I28">
            <v>0</v>
          </cell>
        </row>
        <row r="29">
          <cell r="F29">
            <v>125</v>
          </cell>
          <cell r="G29">
            <v>125</v>
          </cell>
          <cell r="H29">
            <v>0</v>
          </cell>
          <cell r="I29">
            <v>0</v>
          </cell>
        </row>
        <row r="31">
          <cell r="B31">
            <v>16625.8</v>
          </cell>
          <cell r="C31">
            <v>5000</v>
          </cell>
          <cell r="F31">
            <v>6300</v>
          </cell>
          <cell r="G31">
            <v>6300</v>
          </cell>
          <cell r="H31">
            <v>6300</v>
          </cell>
          <cell r="I31">
            <v>6300</v>
          </cell>
        </row>
        <row r="32">
          <cell r="B32">
            <v>3024</v>
          </cell>
          <cell r="C32">
            <v>500</v>
          </cell>
          <cell r="F32">
            <v>4200</v>
          </cell>
          <cell r="G32">
            <v>4200</v>
          </cell>
          <cell r="H32">
            <v>4200</v>
          </cell>
          <cell r="I32">
            <v>4200</v>
          </cell>
        </row>
        <row r="33">
          <cell r="F33">
            <v>1000</v>
          </cell>
          <cell r="G33">
            <v>1000</v>
          </cell>
          <cell r="H33">
            <v>1000</v>
          </cell>
          <cell r="I33">
            <v>1000</v>
          </cell>
        </row>
        <row r="34">
          <cell r="B34">
            <v>1251</v>
          </cell>
          <cell r="C34">
            <v>408</v>
          </cell>
          <cell r="F34">
            <v>417</v>
          </cell>
          <cell r="G34">
            <v>417</v>
          </cell>
          <cell r="H34">
            <v>417</v>
          </cell>
          <cell r="I34">
            <v>417</v>
          </cell>
        </row>
        <row r="35">
          <cell r="B35">
            <v>3898.75</v>
          </cell>
          <cell r="F35">
            <v>6000</v>
          </cell>
          <cell r="G35">
            <v>6000</v>
          </cell>
          <cell r="H35">
            <v>9898.75</v>
          </cell>
          <cell r="I35">
            <v>6000</v>
          </cell>
        </row>
        <row r="36">
          <cell r="B36">
            <v>32</v>
          </cell>
          <cell r="C36">
            <v>0</v>
          </cell>
          <cell r="F36">
            <v>13250</v>
          </cell>
          <cell r="G36">
            <v>19850</v>
          </cell>
          <cell r="H36">
            <v>27850</v>
          </cell>
          <cell r="I36">
            <v>21850</v>
          </cell>
        </row>
        <row r="37">
          <cell r="C37">
            <v>18000</v>
          </cell>
          <cell r="F37">
            <v>0</v>
          </cell>
          <cell r="G37">
            <v>0</v>
          </cell>
          <cell r="H37">
            <v>0</v>
          </cell>
          <cell r="I37">
            <v>20500</v>
          </cell>
        </row>
        <row r="38">
          <cell r="F38">
            <v>89038.84</v>
          </cell>
          <cell r="G38">
            <v>261859.375</v>
          </cell>
          <cell r="H38">
            <v>265359.375</v>
          </cell>
          <cell r="I38">
            <v>324008.94</v>
          </cell>
        </row>
        <row r="39">
          <cell r="C39">
            <v>0</v>
          </cell>
          <cell r="F39">
            <v>5000</v>
          </cell>
          <cell r="G39">
            <v>5000</v>
          </cell>
          <cell r="H39">
            <v>5000</v>
          </cell>
          <cell r="I39">
            <v>7000</v>
          </cell>
        </row>
        <row r="40">
          <cell r="B40">
            <v>590</v>
          </cell>
          <cell r="C40">
            <v>0</v>
          </cell>
          <cell r="F40">
            <v>4500</v>
          </cell>
          <cell r="G40">
            <v>2500</v>
          </cell>
          <cell r="H40">
            <v>2500</v>
          </cell>
          <cell r="I40">
            <v>3500</v>
          </cell>
        </row>
        <row r="41">
          <cell r="C41">
            <v>0</v>
          </cell>
          <cell r="F41">
            <v>0</v>
          </cell>
          <cell r="G41">
            <v>0</v>
          </cell>
          <cell r="H41">
            <v>0</v>
          </cell>
          <cell r="I41">
            <v>0</v>
          </cell>
        </row>
        <row r="42">
          <cell r="F42">
            <v>10000</v>
          </cell>
          <cell r="G42">
            <v>10000</v>
          </cell>
          <cell r="H42">
            <v>10000</v>
          </cell>
          <cell r="I42">
            <v>10000</v>
          </cell>
        </row>
        <row r="43">
          <cell r="F43">
            <v>0</v>
          </cell>
          <cell r="G43">
            <v>0</v>
          </cell>
          <cell r="H43">
            <v>0</v>
          </cell>
          <cell r="I43">
            <v>0</v>
          </cell>
        </row>
        <row r="44">
          <cell r="C44">
            <v>0</v>
          </cell>
          <cell r="F44">
            <v>0</v>
          </cell>
          <cell r="G44">
            <v>0</v>
          </cell>
          <cell r="H44">
            <v>0</v>
          </cell>
          <cell r="I44">
            <v>0</v>
          </cell>
        </row>
        <row r="45">
          <cell r="F45">
            <v>0</v>
          </cell>
          <cell r="G45">
            <v>0</v>
          </cell>
          <cell r="H45">
            <v>0</v>
          </cell>
          <cell r="I45">
            <v>0</v>
          </cell>
        </row>
        <row r="46">
          <cell r="B46">
            <v>9512.5</v>
          </cell>
          <cell r="C46">
            <v>4450</v>
          </cell>
          <cell r="F46">
            <v>12250</v>
          </cell>
          <cell r="G46">
            <v>10250</v>
          </cell>
          <cell r="H46">
            <v>18650</v>
          </cell>
          <cell r="I46">
            <v>10250</v>
          </cell>
        </row>
        <row r="47">
          <cell r="F47">
            <v>0</v>
          </cell>
          <cell r="G47">
            <v>0</v>
          </cell>
          <cell r="H47">
            <v>0</v>
          </cell>
          <cell r="I47">
            <v>0</v>
          </cell>
        </row>
        <row r="48">
          <cell r="F48">
            <v>0</v>
          </cell>
          <cell r="G48">
            <v>0</v>
          </cell>
          <cell r="H48">
            <v>0</v>
          </cell>
          <cell r="I48">
            <v>0</v>
          </cell>
        </row>
        <row r="49">
          <cell r="C49">
            <v>0</v>
          </cell>
          <cell r="F49">
            <v>0</v>
          </cell>
          <cell r="G49">
            <v>0</v>
          </cell>
          <cell r="H49">
            <v>0</v>
          </cell>
          <cell r="I49">
            <v>0</v>
          </cell>
        </row>
        <row r="50">
          <cell r="B50">
            <v>91337.03</v>
          </cell>
          <cell r="C50">
            <v>900000</v>
          </cell>
          <cell r="F50">
            <v>10900</v>
          </cell>
          <cell r="G50">
            <v>15240</v>
          </cell>
          <cell r="H50">
            <v>15240</v>
          </cell>
          <cell r="I50">
            <v>14605</v>
          </cell>
        </row>
        <row r="52">
          <cell r="F52">
            <v>0</v>
          </cell>
          <cell r="H52">
            <v>0</v>
          </cell>
        </row>
      </sheetData>
      <sheetData sheetId="39">
        <row r="7">
          <cell r="B7">
            <v>0</v>
          </cell>
        </row>
        <row r="8">
          <cell r="B8">
            <v>0</v>
          </cell>
        </row>
        <row r="14">
          <cell r="B14">
            <v>2828</v>
          </cell>
        </row>
        <row r="15">
          <cell r="C15">
            <v>8500</v>
          </cell>
        </row>
        <row r="16">
          <cell r="B16">
            <v>11200</v>
          </cell>
          <cell r="C16">
            <v>8700</v>
          </cell>
        </row>
        <row r="17">
          <cell r="B17">
            <v>15580</v>
          </cell>
        </row>
        <row r="20">
          <cell r="C20">
            <v>26600</v>
          </cell>
        </row>
        <row r="21">
          <cell r="B21">
            <v>133537.42</v>
          </cell>
          <cell r="C21">
            <v>27039</v>
          </cell>
        </row>
        <row r="22">
          <cell r="B22">
            <v>412493</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5.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7.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8.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0.v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1.vml"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2.vml"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1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AN293"/>
  <sheetViews>
    <sheetView zoomScaleSheetLayoutView="100" workbookViewId="0" topLeftCell="A59">
      <selection activeCell="R294" sqref="R294"/>
    </sheetView>
  </sheetViews>
  <sheetFormatPr defaultColWidth="10.28125" defaultRowHeight="12.75"/>
  <cols>
    <col min="1" max="1" width="4.140625" style="263" customWidth="1"/>
    <col min="2" max="2" width="7.28125" style="263" hidden="1" customWidth="1"/>
    <col min="3" max="3" width="8.28125" style="263" customWidth="1"/>
    <col min="4" max="4" width="8.7109375" style="263" customWidth="1"/>
    <col min="5" max="5" width="10.28125" style="263" customWidth="1"/>
    <col min="6" max="6" width="9.57421875" style="263" customWidth="1"/>
    <col min="7" max="7" width="9.421875" style="263" customWidth="1"/>
    <col min="8" max="8" width="7.7109375" style="263" customWidth="1"/>
    <col min="9" max="9" width="14.57421875" style="263" bestFit="1" customWidth="1"/>
    <col min="10" max="10" width="12.140625" style="263" bestFit="1" customWidth="1"/>
    <col min="11" max="12" width="10.28125" style="263" customWidth="1"/>
    <col min="13" max="13" width="13.28125" style="263" bestFit="1" customWidth="1"/>
    <col min="14" max="16" width="10.28125" style="263" customWidth="1"/>
    <col min="17" max="17" width="10.28125" style="263" hidden="1" customWidth="1"/>
    <col min="18" max="18" width="10.28125" style="263" customWidth="1"/>
    <col min="19" max="20" width="14.57421875" style="263" bestFit="1" customWidth="1"/>
    <col min="21" max="21" width="11.28125" style="263" customWidth="1"/>
    <col min="22" max="22" width="12.8515625" style="263" bestFit="1" customWidth="1"/>
    <col min="23" max="23" width="12.57421875" style="263" customWidth="1"/>
    <col min="24" max="24" width="12.140625" style="263" customWidth="1"/>
    <col min="25" max="34" width="10.28125" style="263" hidden="1" customWidth="1"/>
    <col min="35" max="35" width="10.57421875" style="264" customWidth="1"/>
    <col min="36" max="37" width="10.7109375" style="263" customWidth="1"/>
    <col min="38" max="38" width="12.140625" style="263" customWidth="1"/>
    <col min="39" max="39" width="14.00390625" style="263" customWidth="1"/>
    <col min="40" max="40" width="14.57421875" style="263" bestFit="1" customWidth="1"/>
    <col min="41" max="16384" width="10.28125" style="263" customWidth="1"/>
  </cols>
  <sheetData>
    <row r="1" spans="1:35" ht="14.25">
      <c r="A1" s="265" t="s">
        <v>0</v>
      </c>
      <c r="B1" s="265"/>
      <c r="C1" s="265"/>
      <c r="D1" s="265"/>
      <c r="E1" s="265"/>
      <c r="F1" s="265"/>
      <c r="G1" s="265"/>
      <c r="H1" s="265"/>
      <c r="I1" s="265"/>
      <c r="J1" s="265"/>
      <c r="K1" s="265"/>
      <c r="L1" s="265"/>
      <c r="M1" s="265"/>
      <c r="N1" s="265"/>
      <c r="O1" s="265"/>
      <c r="P1" s="265"/>
      <c r="Q1" s="265"/>
      <c r="R1" s="265"/>
      <c r="S1" s="265"/>
      <c r="T1" s="265"/>
      <c r="U1" s="265"/>
      <c r="V1" s="265"/>
      <c r="W1" s="265"/>
      <c r="X1" s="265"/>
      <c r="Y1" s="308"/>
      <c r="Z1" s="308"/>
      <c r="AA1" s="308"/>
      <c r="AB1" s="308"/>
      <c r="AC1" s="308"/>
      <c r="AD1" s="308"/>
      <c r="AE1" s="308"/>
      <c r="AF1" s="308"/>
      <c r="AG1" s="308"/>
      <c r="AH1" s="308"/>
      <c r="AI1" s="317"/>
    </row>
    <row r="2" spans="1:35" ht="13.5">
      <c r="A2" s="266" t="s">
        <v>1</v>
      </c>
      <c r="B2" s="267"/>
      <c r="C2" s="267"/>
      <c r="D2" s="267"/>
      <c r="E2" s="266"/>
      <c r="F2" s="266"/>
      <c r="G2" s="266"/>
      <c r="H2" s="266"/>
      <c r="I2" s="266"/>
      <c r="J2" s="266"/>
      <c r="K2" s="266"/>
      <c r="L2" s="266"/>
      <c r="M2" s="266"/>
      <c r="N2" s="266"/>
      <c r="O2" s="266"/>
      <c r="P2" s="266"/>
      <c r="Q2" s="266"/>
      <c r="R2" s="266"/>
      <c r="S2" s="266"/>
      <c r="T2" s="266"/>
      <c r="U2" s="266"/>
      <c r="V2" s="266"/>
      <c r="W2" s="266"/>
      <c r="X2" s="301"/>
      <c r="Y2" s="266"/>
      <c r="Z2" s="266"/>
      <c r="AA2" s="266"/>
      <c r="AB2" s="266"/>
      <c r="AC2" s="266"/>
      <c r="AD2" s="266"/>
      <c r="AE2" s="266"/>
      <c r="AF2" s="266"/>
      <c r="AG2" s="266"/>
      <c r="AH2" s="266"/>
      <c r="AI2" s="317"/>
    </row>
    <row r="3" spans="1:35" ht="13.5">
      <c r="A3" s="268" t="s">
        <v>2</v>
      </c>
      <c r="B3" s="269" t="s">
        <v>3</v>
      </c>
      <c r="C3" s="270" t="s">
        <v>4</v>
      </c>
      <c r="D3" s="270" t="s">
        <v>5</v>
      </c>
      <c r="E3" s="270" t="s">
        <v>6</v>
      </c>
      <c r="F3" s="271" t="s">
        <v>7</v>
      </c>
      <c r="G3" s="272"/>
      <c r="H3" s="272"/>
      <c r="I3" s="272"/>
      <c r="J3" s="292"/>
      <c r="K3" s="270" t="s">
        <v>8</v>
      </c>
      <c r="L3" s="270" t="s">
        <v>9</v>
      </c>
      <c r="M3" s="293" t="s">
        <v>10</v>
      </c>
      <c r="N3" s="294"/>
      <c r="O3" s="294"/>
      <c r="P3" s="294"/>
      <c r="Q3" s="294"/>
      <c r="R3" s="302"/>
      <c r="S3" s="270" t="s">
        <v>11</v>
      </c>
      <c r="T3" s="270" t="s">
        <v>12</v>
      </c>
      <c r="U3" s="270" t="s">
        <v>13</v>
      </c>
      <c r="V3" s="270" t="s">
        <v>14</v>
      </c>
      <c r="W3" s="270" t="s">
        <v>15</v>
      </c>
      <c r="X3" s="303" t="s">
        <v>16</v>
      </c>
      <c r="Y3" s="309"/>
      <c r="Z3" s="309"/>
      <c r="AA3" s="309"/>
      <c r="AB3" s="309">
        <f>K77*12</f>
        <v>3359064</v>
      </c>
      <c r="AC3" s="310">
        <f>U77*12</f>
        <v>937315.7999999999</v>
      </c>
      <c r="AD3" s="311">
        <f>X77</f>
        <v>8029692.813</v>
      </c>
      <c r="AE3" s="309"/>
      <c r="AF3" s="309"/>
      <c r="AG3" s="309"/>
      <c r="AH3" s="309"/>
      <c r="AI3" s="318" t="s">
        <v>17</v>
      </c>
    </row>
    <row r="4" spans="1:35" ht="13.5">
      <c r="A4" s="273"/>
      <c r="B4" s="269"/>
      <c r="C4" s="274"/>
      <c r="D4" s="274"/>
      <c r="E4" s="274"/>
      <c r="F4" s="275" t="s">
        <v>18</v>
      </c>
      <c r="G4" s="275" t="s">
        <v>19</v>
      </c>
      <c r="H4" s="275" t="s">
        <v>20</v>
      </c>
      <c r="I4" s="275" t="s">
        <v>21</v>
      </c>
      <c r="J4" s="275" t="s">
        <v>22</v>
      </c>
      <c r="K4" s="274"/>
      <c r="L4" s="274"/>
      <c r="M4" s="275" t="s">
        <v>23</v>
      </c>
      <c r="N4" s="275" t="s">
        <v>24</v>
      </c>
      <c r="O4" s="275" t="s">
        <v>25</v>
      </c>
      <c r="P4" s="275" t="s">
        <v>26</v>
      </c>
      <c r="Q4" s="275" t="s">
        <v>27</v>
      </c>
      <c r="R4" s="275" t="s">
        <v>28</v>
      </c>
      <c r="S4" s="274"/>
      <c r="T4" s="274"/>
      <c r="U4" s="274"/>
      <c r="V4" s="274"/>
      <c r="W4" s="274"/>
      <c r="X4" s="304"/>
      <c r="Y4" s="309" t="s">
        <v>29</v>
      </c>
      <c r="Z4" s="309" t="s">
        <v>30</v>
      </c>
      <c r="AA4" s="309" t="s">
        <v>31</v>
      </c>
      <c r="AB4" s="309"/>
      <c r="AC4" s="309"/>
      <c r="AD4" s="309"/>
      <c r="AE4" s="309"/>
      <c r="AF4" s="309"/>
      <c r="AG4" s="309" t="s">
        <v>32</v>
      </c>
      <c r="AH4" s="309" t="s">
        <v>33</v>
      </c>
      <c r="AI4" s="318"/>
    </row>
    <row r="5" spans="1:40" ht="14.25">
      <c r="A5" s="276">
        <v>1</v>
      </c>
      <c r="B5" s="269" t="s">
        <v>34</v>
      </c>
      <c r="C5" s="269" t="s">
        <v>35</v>
      </c>
      <c r="D5" s="269" t="s">
        <v>36</v>
      </c>
      <c r="E5" s="277">
        <v>12333</v>
      </c>
      <c r="F5" s="277"/>
      <c r="G5" s="277"/>
      <c r="H5" s="277"/>
      <c r="I5" s="277">
        <v>264</v>
      </c>
      <c r="J5" s="277"/>
      <c r="K5" s="295">
        <f>SUM(E5:J5)</f>
        <v>12597</v>
      </c>
      <c r="L5" s="277">
        <v>22458</v>
      </c>
      <c r="M5" s="296">
        <f aca="true" t="shared" si="0" ref="M5:M17">ROUND(IF(L5&gt;4660.7,L5,4660.7)*16%,2)</f>
        <v>3593.28</v>
      </c>
      <c r="N5" s="296">
        <f aca="true" t="shared" si="1" ref="N5:N17">ROUND(IF(L5&gt;4761.1,L5,4761.1)*8.5%,2)</f>
        <v>1908.93</v>
      </c>
      <c r="O5" s="296">
        <f aca="true" t="shared" si="2" ref="O5:O17">ROUND(IF(L5&gt;4761.1,L5,4761.1)*0.5%,2)</f>
        <v>112.29</v>
      </c>
      <c r="P5" s="296">
        <f aca="true" t="shared" si="3" ref="P5:P17">ROUND(IF(L5&gt;4761.1,L5,4761.1)*0.28%,2)</f>
        <v>62.88</v>
      </c>
      <c r="Q5" s="296"/>
      <c r="R5" s="296">
        <f>CEILING(21723*12%,1)</f>
        <v>2607</v>
      </c>
      <c r="S5" s="296">
        <f>(K5*12+U5*12+W5)*2%</f>
        <v>8057.812</v>
      </c>
      <c r="T5" s="296">
        <f>(K5*12+U5*12+W5)*1.5%</f>
        <v>6043.3589999999995</v>
      </c>
      <c r="U5" s="305">
        <v>4136.55</v>
      </c>
      <c r="V5" s="296">
        <f aca="true" t="shared" si="4" ref="V5:V10">SUM(K5:R5)-L5+U5</f>
        <v>25017.929999999997</v>
      </c>
      <c r="W5" s="305">
        <v>202088</v>
      </c>
      <c r="X5" s="296">
        <f>V5*12+W5+S5+T5</f>
        <v>516404.33099999995</v>
      </c>
      <c r="Y5" s="309">
        <f aca="true" t="shared" si="5" ref="Y5:Y8">ROUND(L5*8%,2)</f>
        <v>1796.64</v>
      </c>
      <c r="Z5" s="309">
        <f aca="true" t="shared" si="6" ref="Z5:Z8">ROUND(L5*2%,2)</f>
        <v>449.16</v>
      </c>
      <c r="AA5" s="309">
        <f aca="true" t="shared" si="7" ref="AA5:AA8">ROUND(L5*0.5%,2)</f>
        <v>112.29</v>
      </c>
      <c r="AB5" s="309"/>
      <c r="AC5" s="309" t="s">
        <v>37</v>
      </c>
      <c r="AD5" s="312" t="e">
        <f>K19+K11+K10+K27+K58+K71+K41+K42+K33+K65+#REF!</f>
        <v>#REF!</v>
      </c>
      <c r="AE5" s="313" t="e">
        <f>U19+U11+U10+U27+U58+U71+U41+U42+U33+U65+#REF!</f>
        <v>#REF!</v>
      </c>
      <c r="AF5" s="313" t="e">
        <f>W19+W11+W10+W27+W58+W71+W41+W42+W33+W65+#REF!</f>
        <v>#REF!</v>
      </c>
      <c r="AG5" s="313">
        <f>K9*12</f>
        <v>396924</v>
      </c>
      <c r="AH5" s="319"/>
      <c r="AI5" s="317" t="s">
        <v>38</v>
      </c>
      <c r="AJ5" s="263" t="s">
        <v>39</v>
      </c>
      <c r="AM5" s="263" t="s">
        <v>40</v>
      </c>
      <c r="AN5" s="263">
        <f>X25+X38+X56+X55+X63+X69</f>
        <v>123881.76000000004</v>
      </c>
    </row>
    <row r="6" spans="1:40" ht="14.25">
      <c r="A6" s="276">
        <v>2</v>
      </c>
      <c r="B6" s="269" t="s">
        <v>34</v>
      </c>
      <c r="C6" s="269" t="s">
        <v>41</v>
      </c>
      <c r="D6" s="269" t="s">
        <v>42</v>
      </c>
      <c r="E6" s="277">
        <v>9866</v>
      </c>
      <c r="F6" s="277"/>
      <c r="G6" s="277"/>
      <c r="H6" s="277"/>
      <c r="I6" s="277">
        <v>264</v>
      </c>
      <c r="J6" s="277"/>
      <c r="K6" s="295">
        <f>SUM(E6:J6)</f>
        <v>10130</v>
      </c>
      <c r="L6" s="277">
        <v>22458</v>
      </c>
      <c r="M6" s="296">
        <f t="shared" si="0"/>
        <v>3593.28</v>
      </c>
      <c r="N6" s="296">
        <f t="shared" si="1"/>
        <v>1908.93</v>
      </c>
      <c r="O6" s="296">
        <f t="shared" si="2"/>
        <v>112.29</v>
      </c>
      <c r="P6" s="296">
        <f t="shared" si="3"/>
        <v>62.88</v>
      </c>
      <c r="Q6" s="296"/>
      <c r="R6" s="296">
        <f>CEILING(21723*12%,1)</f>
        <v>2607</v>
      </c>
      <c r="S6" s="296">
        <f>(K6*12+U6*12+W6)*2%</f>
        <v>7061.552</v>
      </c>
      <c r="T6" s="296">
        <f>(K6*12+U6*12+W6)*1.5%</f>
        <v>5296.164</v>
      </c>
      <c r="U6" s="305">
        <v>4136.55</v>
      </c>
      <c r="V6" s="296">
        <f t="shared" si="4"/>
        <v>22550.929999999997</v>
      </c>
      <c r="W6" s="305">
        <v>181879</v>
      </c>
      <c r="X6" s="296">
        <f>V6*12+W6+S6+T6</f>
        <v>464847.876</v>
      </c>
      <c r="Y6" s="309">
        <f t="shared" si="5"/>
        <v>1796.64</v>
      </c>
      <c r="Z6" s="309">
        <f t="shared" si="6"/>
        <v>449.16</v>
      </c>
      <c r="AA6" s="309">
        <f t="shared" si="7"/>
        <v>112.29</v>
      </c>
      <c r="AB6" s="309"/>
      <c r="AC6" s="309"/>
      <c r="AD6" s="312" t="e">
        <f>K77-K9-AD5</f>
        <v>#REF!</v>
      </c>
      <c r="AE6" s="312" t="e">
        <f>U77-AE5</f>
        <v>#REF!</v>
      </c>
      <c r="AF6" s="312" t="e">
        <f>W77-AF5-W9</f>
        <v>#REF!</v>
      </c>
      <c r="AG6" s="313">
        <f>AG5+U9+W9</f>
        <v>966893.65</v>
      </c>
      <c r="AH6" s="319"/>
      <c r="AI6" s="317" t="s">
        <v>38</v>
      </c>
      <c r="AN6" s="263">
        <f>AN5+X5</f>
        <v>640286.091</v>
      </c>
    </row>
    <row r="7" spans="1:35" ht="14.25">
      <c r="A7" s="276">
        <v>3</v>
      </c>
      <c r="B7" s="269" t="s">
        <v>34</v>
      </c>
      <c r="C7" s="269" t="s">
        <v>43</v>
      </c>
      <c r="D7" s="269" t="s">
        <v>44</v>
      </c>
      <c r="E7" s="277">
        <v>9866</v>
      </c>
      <c r="F7" s="277"/>
      <c r="G7" s="277">
        <v>220</v>
      </c>
      <c r="H7" s="277"/>
      <c r="I7" s="277">
        <v>264</v>
      </c>
      <c r="J7" s="277"/>
      <c r="K7" s="295">
        <f>SUM(E7:J7)</f>
        <v>10350</v>
      </c>
      <c r="L7" s="277">
        <v>22458</v>
      </c>
      <c r="M7" s="296">
        <f t="shared" si="0"/>
        <v>3593.28</v>
      </c>
      <c r="N7" s="296">
        <f t="shared" si="1"/>
        <v>1908.93</v>
      </c>
      <c r="O7" s="296">
        <f t="shared" si="2"/>
        <v>112.29</v>
      </c>
      <c r="P7" s="296">
        <f t="shared" si="3"/>
        <v>62.88</v>
      </c>
      <c r="Q7" s="296"/>
      <c r="R7" s="296">
        <f>CEILING(21723*12%,1)</f>
        <v>2607</v>
      </c>
      <c r="S7" s="296">
        <f>(K7*12+U7*12+W7)*2%</f>
        <v>6948.632</v>
      </c>
      <c r="T7" s="296">
        <f>(K7*12+U7*12+W7)*1.5%</f>
        <v>5211.473999999999</v>
      </c>
      <c r="U7" s="305">
        <v>4136.55</v>
      </c>
      <c r="V7" s="296">
        <f t="shared" si="4"/>
        <v>22770.929999999997</v>
      </c>
      <c r="W7" s="305">
        <v>173593</v>
      </c>
      <c r="X7" s="296">
        <f>V7*12+W7+S7+T7</f>
        <v>459004.26599999995</v>
      </c>
      <c r="Y7" s="309">
        <f t="shared" si="5"/>
        <v>1796.64</v>
      </c>
      <c r="Z7" s="309">
        <f t="shared" si="6"/>
        <v>449.16</v>
      </c>
      <c r="AA7" s="309">
        <f t="shared" si="7"/>
        <v>112.29</v>
      </c>
      <c r="AB7" s="309"/>
      <c r="AC7" s="309"/>
      <c r="AD7" s="309"/>
      <c r="AE7" s="309"/>
      <c r="AF7" s="309"/>
      <c r="AG7" s="309">
        <f>K9*5</f>
        <v>165385</v>
      </c>
      <c r="AH7" s="319"/>
      <c r="AI7" s="317" t="s">
        <v>38</v>
      </c>
    </row>
    <row r="8" spans="1:35" ht="14.25">
      <c r="A8" s="276"/>
      <c r="B8" s="269" t="s">
        <v>34</v>
      </c>
      <c r="C8" s="269"/>
      <c r="D8" s="269"/>
      <c r="E8" s="277"/>
      <c r="F8" s="277"/>
      <c r="G8" s="277"/>
      <c r="H8" s="277"/>
      <c r="I8" s="277"/>
      <c r="J8" s="277"/>
      <c r="K8" s="295">
        <f>SUM(E8:J8)</f>
        <v>0</v>
      </c>
      <c r="L8" s="277"/>
      <c r="M8" s="296"/>
      <c r="N8" s="296"/>
      <c r="O8" s="296"/>
      <c r="P8" s="296"/>
      <c r="Q8" s="296"/>
      <c r="R8" s="296">
        <f aca="true" t="shared" si="8" ref="R5:R17">CEILING(L8*12%,1)</f>
        <v>0</v>
      </c>
      <c r="S8" s="296"/>
      <c r="T8" s="296"/>
      <c r="U8" s="305"/>
      <c r="V8" s="296">
        <f>SUM(E8:I8)+SUM(M8:R8)</f>
        <v>0</v>
      </c>
      <c r="W8" s="305"/>
      <c r="X8" s="296">
        <f>V8*12+W8+U8+S8+T8+J8*7</f>
        <v>0</v>
      </c>
      <c r="Y8" s="309">
        <f t="shared" si="5"/>
        <v>0</v>
      </c>
      <c r="Z8" s="309">
        <f t="shared" si="6"/>
        <v>0</v>
      </c>
      <c r="AA8" s="309">
        <f t="shared" si="7"/>
        <v>0</v>
      </c>
      <c r="AB8" s="309"/>
      <c r="AC8" s="309"/>
      <c r="AD8" s="309"/>
      <c r="AE8" s="309"/>
      <c r="AF8" s="309"/>
      <c r="AG8" s="320">
        <f>AG7+U9</f>
        <v>177794.65</v>
      </c>
      <c r="AH8" s="319"/>
      <c r="AI8" s="317"/>
    </row>
    <row r="9" spans="1:35" ht="14.25">
      <c r="A9" s="278" t="s">
        <v>45</v>
      </c>
      <c r="B9" s="279"/>
      <c r="C9" s="279"/>
      <c r="D9" s="280"/>
      <c r="E9" s="281">
        <f>SUM(E5:E8)</f>
        <v>32065</v>
      </c>
      <c r="F9" s="281">
        <f aca="true" t="shared" si="9" ref="F9:L9">SUM(F5:F8)</f>
        <v>0</v>
      </c>
      <c r="G9" s="281">
        <f t="shared" si="9"/>
        <v>220</v>
      </c>
      <c r="H9" s="281">
        <f t="shared" si="9"/>
        <v>0</v>
      </c>
      <c r="I9" s="281">
        <f t="shared" si="9"/>
        <v>792</v>
      </c>
      <c r="J9" s="281">
        <f t="shared" si="9"/>
        <v>0</v>
      </c>
      <c r="K9" s="297">
        <f t="shared" si="9"/>
        <v>33077</v>
      </c>
      <c r="L9" s="281"/>
      <c r="M9" s="298">
        <f>SUM(M5:M8)</f>
        <v>10779.84</v>
      </c>
      <c r="N9" s="298">
        <f aca="true" t="shared" si="10" ref="N9:X9">SUM(N5:N8)</f>
        <v>5726.79</v>
      </c>
      <c r="O9" s="298">
        <f t="shared" si="10"/>
        <v>336.87</v>
      </c>
      <c r="P9" s="298">
        <f t="shared" si="10"/>
        <v>188.64000000000001</v>
      </c>
      <c r="Q9" s="298">
        <f t="shared" si="10"/>
        <v>0</v>
      </c>
      <c r="R9" s="298">
        <f t="shared" si="10"/>
        <v>7821</v>
      </c>
      <c r="S9" s="298">
        <f t="shared" si="10"/>
        <v>22067.996</v>
      </c>
      <c r="T9" s="298">
        <f t="shared" si="10"/>
        <v>16550.997</v>
      </c>
      <c r="U9" s="306">
        <f t="shared" si="10"/>
        <v>12409.650000000001</v>
      </c>
      <c r="V9" s="306">
        <f t="shared" si="10"/>
        <v>70339.79</v>
      </c>
      <c r="W9" s="306">
        <f t="shared" si="10"/>
        <v>557560</v>
      </c>
      <c r="X9" s="306">
        <f t="shared" si="10"/>
        <v>1440256.4729999998</v>
      </c>
      <c r="Y9" s="314"/>
      <c r="Z9" s="315"/>
      <c r="AA9" s="315"/>
      <c r="AB9" s="315"/>
      <c r="AC9" s="315"/>
      <c r="AD9" s="315"/>
      <c r="AE9" s="315"/>
      <c r="AF9" s="315"/>
      <c r="AG9" s="315"/>
      <c r="AH9" s="319"/>
      <c r="AI9" s="321"/>
    </row>
    <row r="10" spans="1:37" ht="13.5">
      <c r="A10" s="269">
        <v>4</v>
      </c>
      <c r="B10" s="269" t="s">
        <v>46</v>
      </c>
      <c r="C10" s="269" t="s">
        <v>47</v>
      </c>
      <c r="D10" s="269" t="s">
        <v>48</v>
      </c>
      <c r="E10" s="277">
        <v>5300</v>
      </c>
      <c r="F10" s="277">
        <v>100</v>
      </c>
      <c r="G10" s="277"/>
      <c r="H10" s="277">
        <v>250</v>
      </c>
      <c r="I10" s="277">
        <v>264</v>
      </c>
      <c r="J10" s="277">
        <v>300</v>
      </c>
      <c r="K10" s="295">
        <f aca="true" t="shared" si="11" ref="K10:K17">SUM(E10:J10)</f>
        <v>6214</v>
      </c>
      <c r="L10" s="277">
        <v>7517</v>
      </c>
      <c r="M10" s="296">
        <f t="shared" si="0"/>
        <v>1202.72</v>
      </c>
      <c r="N10" s="296">
        <f t="shared" si="1"/>
        <v>638.95</v>
      </c>
      <c r="O10" s="296">
        <f t="shared" si="2"/>
        <v>37.59</v>
      </c>
      <c r="P10" s="296">
        <f t="shared" si="3"/>
        <v>21.05</v>
      </c>
      <c r="Q10" s="296"/>
      <c r="R10" s="296">
        <f t="shared" si="8"/>
        <v>903</v>
      </c>
      <c r="S10" s="296">
        <f>((SUM(E10:I10)+U10)*12+J10*7+W10)*2%</f>
        <v>2571.36</v>
      </c>
      <c r="T10" s="296">
        <f>((SUM(E10:I10)+U10)*12+J10*7+W10)*1.5%</f>
        <v>1928.52</v>
      </c>
      <c r="U10" s="305">
        <v>1500</v>
      </c>
      <c r="V10" s="296">
        <f>SUM(K10:R10)-L10+U10</f>
        <v>10517.309999999998</v>
      </c>
      <c r="W10" s="305">
        <v>37500</v>
      </c>
      <c r="X10" s="296">
        <f>V10*12+W10+S10+T10-J10*5</f>
        <v>166707.59999999995</v>
      </c>
      <c r="Y10" s="309">
        <f aca="true" t="shared" si="12" ref="Y10:Y17">ROUND(L10*8%,2)</f>
        <v>601.36</v>
      </c>
      <c r="Z10" s="309">
        <f aca="true" t="shared" si="13" ref="Z10:Z17">ROUND(L10*2%,2)</f>
        <v>150.34</v>
      </c>
      <c r="AA10" s="309">
        <f aca="true" t="shared" si="14" ref="AA10:AA17">ROUND(L10*0.5%,2)</f>
        <v>37.59</v>
      </c>
      <c r="AB10" s="309">
        <f aca="true" t="shared" si="15" ref="AB10:AB17">SUM(Y10:AA10)</f>
        <v>789.2900000000001</v>
      </c>
      <c r="AC10" s="309">
        <f aca="true" t="shared" si="16" ref="AC10:AC17">ROUND(IF(L10&gt;3453*105%,L10,3453*105%)*8%,2)</f>
        <v>601.36</v>
      </c>
      <c r="AD10" s="309">
        <f aca="true" t="shared" si="17" ref="AD10:AD17">ROUND(IF(L10&gt;3453*105%,L10,3453*105%)*2%,2)</f>
        <v>150.34</v>
      </c>
      <c r="AE10" s="309">
        <f aca="true" t="shared" si="18" ref="AE10:AE17">ROUND(IF(L10&gt;3453*105%,L10,3453*105%)*0.5%,2)</f>
        <v>37.59</v>
      </c>
      <c r="AF10" s="309">
        <f aca="true" t="shared" si="19" ref="AF10:AF17">SUM(AC10:AE10)</f>
        <v>789.2900000000001</v>
      </c>
      <c r="AG10" s="309">
        <f aca="true" t="shared" si="20" ref="AG10:AG17">AF10-AB10</f>
        <v>0</v>
      </c>
      <c r="AH10" s="309"/>
      <c r="AI10" s="322" t="s">
        <v>39</v>
      </c>
      <c r="AJ10" s="263">
        <f>SUMIF(E:E,"职员"&amp;"主管",F:F)</f>
        <v>0</v>
      </c>
      <c r="AK10" s="263">
        <f>G251-AJ10</f>
        <v>58794</v>
      </c>
    </row>
    <row r="11" spans="1:37" ht="13.5">
      <c r="A11" s="269">
        <v>5</v>
      </c>
      <c r="B11" s="269" t="s">
        <v>49</v>
      </c>
      <c r="C11" s="269" t="s">
        <v>50</v>
      </c>
      <c r="D11" s="269" t="s">
        <v>51</v>
      </c>
      <c r="E11" s="277">
        <v>5300</v>
      </c>
      <c r="F11" s="277">
        <v>400</v>
      </c>
      <c r="G11" s="277"/>
      <c r="H11" s="277">
        <v>250</v>
      </c>
      <c r="I11" s="277">
        <v>264</v>
      </c>
      <c r="J11" s="277">
        <v>300</v>
      </c>
      <c r="K11" s="295">
        <f t="shared" si="11"/>
        <v>6514</v>
      </c>
      <c r="L11" s="277">
        <v>7817</v>
      </c>
      <c r="M11" s="296">
        <f t="shared" si="0"/>
        <v>1250.72</v>
      </c>
      <c r="N11" s="296">
        <f t="shared" si="1"/>
        <v>664.45</v>
      </c>
      <c r="O11" s="296">
        <f t="shared" si="2"/>
        <v>39.09</v>
      </c>
      <c r="P11" s="296">
        <f t="shared" si="3"/>
        <v>21.89</v>
      </c>
      <c r="Q11" s="296"/>
      <c r="R11" s="296">
        <f t="shared" si="8"/>
        <v>939</v>
      </c>
      <c r="S11" s="296">
        <f aca="true" t="shared" si="21" ref="S11:S17">((SUM(E11:I11)+U11)*12+J11*7+W11)*2%</f>
        <v>2643.36</v>
      </c>
      <c r="T11" s="296">
        <f aca="true" t="shared" si="22" ref="T11:T17">((SUM(E11:I11)+U11)*12+J11*7+W11)*1.5%</f>
        <v>1982.52</v>
      </c>
      <c r="U11" s="305">
        <v>1500</v>
      </c>
      <c r="V11" s="296">
        <f aca="true" t="shared" si="23" ref="V11:V17">SUM(K11:R11)-L11+U11</f>
        <v>10929.150000000001</v>
      </c>
      <c r="W11" s="305">
        <v>37500</v>
      </c>
      <c r="X11" s="296">
        <f aca="true" t="shared" si="24" ref="X11:X17">V11*12+W11+S11+T11-J11*5</f>
        <v>171775.68</v>
      </c>
      <c r="Y11" s="309">
        <f t="shared" si="12"/>
        <v>625.36</v>
      </c>
      <c r="Z11" s="309">
        <f t="shared" si="13"/>
        <v>156.34</v>
      </c>
      <c r="AA11" s="309">
        <f t="shared" si="14"/>
        <v>39.09</v>
      </c>
      <c r="AB11" s="309">
        <f t="shared" si="15"/>
        <v>820.7900000000001</v>
      </c>
      <c r="AC11" s="309">
        <f t="shared" si="16"/>
        <v>625.36</v>
      </c>
      <c r="AD11" s="309">
        <f t="shared" si="17"/>
        <v>156.34</v>
      </c>
      <c r="AE11" s="309">
        <f t="shared" si="18"/>
        <v>39.09</v>
      </c>
      <c r="AF11" s="309">
        <f t="shared" si="19"/>
        <v>820.7900000000001</v>
      </c>
      <c r="AG11" s="309">
        <f t="shared" si="20"/>
        <v>0</v>
      </c>
      <c r="AH11" s="309"/>
      <c r="AI11" s="322" t="s">
        <v>39</v>
      </c>
      <c r="AJ11" s="263">
        <f>SUMIF(AI:AI,"*中层",G:G)</f>
        <v>940</v>
      </c>
      <c r="AK11" s="263">
        <f>AJ11-M251</f>
        <v>-140444.2100000001</v>
      </c>
    </row>
    <row r="12" spans="1:36" ht="13.5">
      <c r="A12" s="269">
        <v>6</v>
      </c>
      <c r="B12" s="269"/>
      <c r="C12" s="269" t="s">
        <v>52</v>
      </c>
      <c r="D12" s="269" t="s">
        <v>53</v>
      </c>
      <c r="E12" s="277">
        <v>3900</v>
      </c>
      <c r="F12" s="277">
        <v>80</v>
      </c>
      <c r="G12" s="277"/>
      <c r="H12" s="277">
        <v>150</v>
      </c>
      <c r="I12" s="277">
        <v>264</v>
      </c>
      <c r="J12" s="277">
        <v>300</v>
      </c>
      <c r="K12" s="295">
        <f t="shared" si="11"/>
        <v>4694</v>
      </c>
      <c r="L12" s="277">
        <v>5822</v>
      </c>
      <c r="M12" s="296">
        <f t="shared" si="0"/>
        <v>931.52</v>
      </c>
      <c r="N12" s="296">
        <f t="shared" si="1"/>
        <v>494.87</v>
      </c>
      <c r="O12" s="296">
        <f t="shared" si="2"/>
        <v>29.11</v>
      </c>
      <c r="P12" s="296">
        <f t="shared" si="3"/>
        <v>16.3</v>
      </c>
      <c r="Q12" s="296"/>
      <c r="R12" s="296">
        <f t="shared" si="8"/>
        <v>699</v>
      </c>
      <c r="S12" s="296">
        <f t="shared" si="21"/>
        <v>1978.56</v>
      </c>
      <c r="T12" s="296">
        <f t="shared" si="22"/>
        <v>1483.9199999999998</v>
      </c>
      <c r="U12" s="305">
        <v>1300</v>
      </c>
      <c r="V12" s="296">
        <f t="shared" si="23"/>
        <v>8164.800000000001</v>
      </c>
      <c r="W12" s="305">
        <v>28500</v>
      </c>
      <c r="X12" s="296">
        <f t="shared" si="24"/>
        <v>128440.08</v>
      </c>
      <c r="Y12" s="309">
        <f t="shared" si="12"/>
        <v>465.76</v>
      </c>
      <c r="Z12" s="309">
        <f t="shared" si="13"/>
        <v>116.44</v>
      </c>
      <c r="AA12" s="309">
        <f t="shared" si="14"/>
        <v>29.11</v>
      </c>
      <c r="AB12" s="309">
        <f t="shared" si="15"/>
        <v>611.3100000000001</v>
      </c>
      <c r="AC12" s="309">
        <f t="shared" si="16"/>
        <v>465.76</v>
      </c>
      <c r="AD12" s="309">
        <f t="shared" si="17"/>
        <v>116.44</v>
      </c>
      <c r="AE12" s="309">
        <f t="shared" si="18"/>
        <v>29.11</v>
      </c>
      <c r="AF12" s="309">
        <f t="shared" si="19"/>
        <v>611.3100000000001</v>
      </c>
      <c r="AG12" s="309">
        <f t="shared" si="20"/>
        <v>0</v>
      </c>
      <c r="AH12" s="317"/>
      <c r="AI12" s="322" t="s">
        <v>54</v>
      </c>
      <c r="AJ12" s="263">
        <f>SUMIF(AI:AI,AJ5,H:H)</f>
        <v>5310</v>
      </c>
    </row>
    <row r="13" spans="1:36" ht="13.5">
      <c r="A13" s="269">
        <v>7</v>
      </c>
      <c r="B13" s="269" t="s">
        <v>55</v>
      </c>
      <c r="C13" s="269" t="s">
        <v>56</v>
      </c>
      <c r="D13" s="269" t="s">
        <v>54</v>
      </c>
      <c r="E13" s="277">
        <v>3900</v>
      </c>
      <c r="F13" s="277">
        <v>80</v>
      </c>
      <c r="G13" s="277"/>
      <c r="H13" s="277">
        <v>100</v>
      </c>
      <c r="I13" s="277">
        <v>264</v>
      </c>
      <c r="J13" s="277">
        <v>300</v>
      </c>
      <c r="K13" s="295">
        <f t="shared" si="11"/>
        <v>4644</v>
      </c>
      <c r="L13" s="277">
        <v>5983</v>
      </c>
      <c r="M13" s="296">
        <f t="shared" si="0"/>
        <v>957.28</v>
      </c>
      <c r="N13" s="296">
        <f t="shared" si="1"/>
        <v>508.56</v>
      </c>
      <c r="O13" s="296">
        <f t="shared" si="2"/>
        <v>29.92</v>
      </c>
      <c r="P13" s="296">
        <f t="shared" si="3"/>
        <v>16.75</v>
      </c>
      <c r="Q13" s="296"/>
      <c r="R13" s="296">
        <f t="shared" si="8"/>
        <v>718</v>
      </c>
      <c r="S13" s="296">
        <f t="shared" si="21"/>
        <v>1822.56</v>
      </c>
      <c r="T13" s="296">
        <f t="shared" si="22"/>
        <v>1366.9199999999998</v>
      </c>
      <c r="U13" s="305">
        <v>1200</v>
      </c>
      <c r="V13" s="296">
        <f t="shared" si="23"/>
        <v>8074.51</v>
      </c>
      <c r="W13" s="305">
        <v>22500</v>
      </c>
      <c r="X13" s="296">
        <f t="shared" si="24"/>
        <v>121083.59999999999</v>
      </c>
      <c r="Y13" s="309">
        <f t="shared" si="12"/>
        <v>478.64</v>
      </c>
      <c r="Z13" s="309">
        <f t="shared" si="13"/>
        <v>119.66</v>
      </c>
      <c r="AA13" s="309">
        <f t="shared" si="14"/>
        <v>29.92</v>
      </c>
      <c r="AB13" s="309">
        <f t="shared" si="15"/>
        <v>628.2199999999999</v>
      </c>
      <c r="AC13" s="309">
        <f t="shared" si="16"/>
        <v>478.64</v>
      </c>
      <c r="AD13" s="309">
        <f t="shared" si="17"/>
        <v>119.66</v>
      </c>
      <c r="AE13" s="309">
        <f t="shared" si="18"/>
        <v>29.92</v>
      </c>
      <c r="AF13" s="309">
        <f t="shared" si="19"/>
        <v>628.2199999999999</v>
      </c>
      <c r="AG13" s="309">
        <f t="shared" si="20"/>
        <v>0</v>
      </c>
      <c r="AH13" s="309" t="s">
        <v>57</v>
      </c>
      <c r="AI13" s="322" t="s">
        <v>54</v>
      </c>
      <c r="AJ13" s="263">
        <f>SUMIF(AI:AI,AJ5,I:I)</f>
        <v>5808</v>
      </c>
    </row>
    <row r="14" spans="1:36" ht="14.25">
      <c r="A14" s="269">
        <v>8</v>
      </c>
      <c r="B14" s="269"/>
      <c r="C14" s="269" t="s">
        <v>58</v>
      </c>
      <c r="D14" s="269" t="s">
        <v>54</v>
      </c>
      <c r="E14" s="277">
        <v>3200</v>
      </c>
      <c r="F14" s="277">
        <v>60</v>
      </c>
      <c r="G14" s="277"/>
      <c r="H14" s="277">
        <v>100</v>
      </c>
      <c r="I14" s="277">
        <v>264</v>
      </c>
      <c r="J14" s="277">
        <v>300</v>
      </c>
      <c r="K14" s="295">
        <f t="shared" si="11"/>
        <v>3924</v>
      </c>
      <c r="L14" s="277">
        <v>5144</v>
      </c>
      <c r="M14" s="296">
        <f t="shared" si="0"/>
        <v>823.04</v>
      </c>
      <c r="N14" s="296">
        <f t="shared" si="1"/>
        <v>437.24</v>
      </c>
      <c r="O14" s="296">
        <f t="shared" si="2"/>
        <v>25.72</v>
      </c>
      <c r="P14" s="296">
        <f t="shared" si="3"/>
        <v>14.4</v>
      </c>
      <c r="Q14" s="296"/>
      <c r="R14" s="296">
        <f t="shared" si="8"/>
        <v>618</v>
      </c>
      <c r="S14" s="296">
        <f t="shared" si="21"/>
        <v>1649.76</v>
      </c>
      <c r="T14" s="296">
        <f t="shared" si="22"/>
        <v>1237.32</v>
      </c>
      <c r="U14" s="305">
        <v>1200</v>
      </c>
      <c r="V14" s="296">
        <f t="shared" si="23"/>
        <v>7042.4</v>
      </c>
      <c r="W14" s="305">
        <v>22500</v>
      </c>
      <c r="X14" s="296">
        <f t="shared" si="24"/>
        <v>108395.87999999999</v>
      </c>
      <c r="Y14" s="309">
        <f t="shared" si="12"/>
        <v>411.52</v>
      </c>
      <c r="Z14" s="309">
        <f t="shared" si="13"/>
        <v>102.88</v>
      </c>
      <c r="AA14" s="309">
        <f t="shared" si="14"/>
        <v>25.72</v>
      </c>
      <c r="AB14" s="309">
        <f t="shared" si="15"/>
        <v>540.12</v>
      </c>
      <c r="AC14" s="309">
        <f t="shared" si="16"/>
        <v>411.52</v>
      </c>
      <c r="AD14" s="309">
        <f t="shared" si="17"/>
        <v>102.88</v>
      </c>
      <c r="AE14" s="309">
        <f t="shared" si="18"/>
        <v>25.72</v>
      </c>
      <c r="AF14" s="309">
        <f t="shared" si="19"/>
        <v>540.12</v>
      </c>
      <c r="AG14" s="309">
        <f t="shared" si="20"/>
        <v>0</v>
      </c>
      <c r="AH14" s="319"/>
      <c r="AI14" s="322" t="s">
        <v>54</v>
      </c>
      <c r="AJ14" s="263">
        <f>SUM(AJ10:AJ13)*3</f>
        <v>36174</v>
      </c>
    </row>
    <row r="15" spans="1:35" ht="12.75">
      <c r="A15" s="269">
        <v>9</v>
      </c>
      <c r="B15" s="269" t="s">
        <v>55</v>
      </c>
      <c r="C15" s="269" t="s">
        <v>59</v>
      </c>
      <c r="D15" s="269" t="s">
        <v>54</v>
      </c>
      <c r="E15" s="277">
        <v>3200</v>
      </c>
      <c r="F15" s="277">
        <v>50</v>
      </c>
      <c r="G15" s="277"/>
      <c r="H15" s="277">
        <v>100</v>
      </c>
      <c r="I15" s="277">
        <v>264</v>
      </c>
      <c r="J15" s="277">
        <v>300</v>
      </c>
      <c r="K15" s="295">
        <f t="shared" si="11"/>
        <v>3914</v>
      </c>
      <c r="L15" s="277">
        <v>4957</v>
      </c>
      <c r="M15" s="296">
        <f t="shared" si="0"/>
        <v>793.12</v>
      </c>
      <c r="N15" s="296">
        <f t="shared" si="1"/>
        <v>421.35</v>
      </c>
      <c r="O15" s="296">
        <f t="shared" si="2"/>
        <v>24.79</v>
      </c>
      <c r="P15" s="296">
        <f t="shared" si="3"/>
        <v>13.88</v>
      </c>
      <c r="Q15" s="296"/>
      <c r="R15" s="296">
        <f t="shared" si="8"/>
        <v>595</v>
      </c>
      <c r="S15" s="296">
        <f t="shared" si="21"/>
        <v>1647.3600000000001</v>
      </c>
      <c r="T15" s="296">
        <f t="shared" si="22"/>
        <v>1235.52</v>
      </c>
      <c r="U15" s="305">
        <v>1200</v>
      </c>
      <c r="V15" s="296">
        <f t="shared" si="23"/>
        <v>6962.140000000001</v>
      </c>
      <c r="W15" s="305">
        <v>22500</v>
      </c>
      <c r="X15" s="296">
        <f t="shared" si="24"/>
        <v>107428.56000000003</v>
      </c>
      <c r="Y15" s="309">
        <f t="shared" si="12"/>
        <v>396.56</v>
      </c>
      <c r="Z15" s="309">
        <f t="shared" si="13"/>
        <v>99.14</v>
      </c>
      <c r="AA15" s="309">
        <f t="shared" si="14"/>
        <v>24.79</v>
      </c>
      <c r="AB15" s="309">
        <f t="shared" si="15"/>
        <v>520.49</v>
      </c>
      <c r="AC15" s="309">
        <f t="shared" si="16"/>
        <v>396.56</v>
      </c>
      <c r="AD15" s="309">
        <f t="shared" si="17"/>
        <v>99.14</v>
      </c>
      <c r="AE15" s="309">
        <f t="shared" si="18"/>
        <v>24.79</v>
      </c>
      <c r="AF15" s="309">
        <f t="shared" si="19"/>
        <v>520.49</v>
      </c>
      <c r="AG15" s="309">
        <f t="shared" si="20"/>
        <v>0</v>
      </c>
      <c r="AH15" s="309"/>
      <c r="AI15" s="322" t="s">
        <v>54</v>
      </c>
    </row>
    <row r="16" spans="1:35" ht="12.75">
      <c r="A16" s="269">
        <v>10</v>
      </c>
      <c r="B16" s="269"/>
      <c r="C16" s="269" t="s">
        <v>60</v>
      </c>
      <c r="D16" s="269" t="s">
        <v>54</v>
      </c>
      <c r="E16" s="277">
        <v>3200</v>
      </c>
      <c r="F16" s="277">
        <v>50</v>
      </c>
      <c r="G16" s="277">
        <v>235</v>
      </c>
      <c r="H16" s="277">
        <v>100</v>
      </c>
      <c r="I16" s="277">
        <v>264</v>
      </c>
      <c r="J16" s="277">
        <v>300</v>
      </c>
      <c r="K16" s="295">
        <f t="shared" si="11"/>
        <v>4149</v>
      </c>
      <c r="L16" s="277">
        <v>4491.6</v>
      </c>
      <c r="M16" s="296">
        <f t="shared" si="0"/>
        <v>745.71</v>
      </c>
      <c r="N16" s="296">
        <f t="shared" si="1"/>
        <v>404.69</v>
      </c>
      <c r="O16" s="296">
        <f t="shared" si="2"/>
        <v>23.81</v>
      </c>
      <c r="P16" s="296">
        <f t="shared" si="3"/>
        <v>13.33</v>
      </c>
      <c r="Q16" s="296"/>
      <c r="R16" s="296">
        <f>CEILING(4347*12%,1)</f>
        <v>522</v>
      </c>
      <c r="S16" s="296">
        <f t="shared" si="21"/>
        <v>1703.76</v>
      </c>
      <c r="T16" s="296">
        <f t="shared" si="22"/>
        <v>1277.82</v>
      </c>
      <c r="U16" s="305">
        <v>1200</v>
      </c>
      <c r="V16" s="296">
        <f t="shared" si="23"/>
        <v>7058.540000000001</v>
      </c>
      <c r="W16" s="305">
        <v>22500</v>
      </c>
      <c r="X16" s="296">
        <f t="shared" si="24"/>
        <v>108684.06000000001</v>
      </c>
      <c r="Y16" s="309">
        <f t="shared" si="12"/>
        <v>359.33</v>
      </c>
      <c r="Z16" s="309">
        <f t="shared" si="13"/>
        <v>89.83</v>
      </c>
      <c r="AA16" s="309">
        <f t="shared" si="14"/>
        <v>22.46</v>
      </c>
      <c r="AB16" s="309">
        <f t="shared" si="15"/>
        <v>471.61999999999995</v>
      </c>
      <c r="AC16" s="309">
        <f t="shared" si="16"/>
        <v>359.33</v>
      </c>
      <c r="AD16" s="309">
        <f t="shared" si="17"/>
        <v>89.83</v>
      </c>
      <c r="AE16" s="309">
        <f t="shared" si="18"/>
        <v>22.46</v>
      </c>
      <c r="AF16" s="309">
        <f t="shared" si="19"/>
        <v>471.61999999999995</v>
      </c>
      <c r="AG16" s="309">
        <f t="shared" si="20"/>
        <v>0</v>
      </c>
      <c r="AH16" s="309"/>
      <c r="AI16" s="322" t="s">
        <v>54</v>
      </c>
    </row>
    <row r="17" spans="1:35" ht="12.75">
      <c r="A17" s="269"/>
      <c r="B17" s="282"/>
      <c r="C17" s="283" t="s">
        <v>61</v>
      </c>
      <c r="D17" s="269" t="s">
        <v>62</v>
      </c>
      <c r="E17" s="277">
        <v>700</v>
      </c>
      <c r="F17" s="277"/>
      <c r="G17" s="277"/>
      <c r="H17" s="277">
        <v>50</v>
      </c>
      <c r="I17" s="277"/>
      <c r="J17" s="277"/>
      <c r="K17" s="295">
        <f t="shared" si="11"/>
        <v>750</v>
      </c>
      <c r="L17" s="277"/>
      <c r="M17" s="296"/>
      <c r="N17" s="296"/>
      <c r="O17" s="296"/>
      <c r="P17" s="296"/>
      <c r="Q17" s="296"/>
      <c r="R17" s="296"/>
      <c r="S17" s="296">
        <f t="shared" si="21"/>
        <v>328</v>
      </c>
      <c r="T17" s="296">
        <f t="shared" si="22"/>
        <v>246</v>
      </c>
      <c r="U17" s="305">
        <v>200</v>
      </c>
      <c r="V17" s="296">
        <f t="shared" si="23"/>
        <v>950</v>
      </c>
      <c r="W17" s="305">
        <v>5000</v>
      </c>
      <c r="X17" s="296">
        <f t="shared" si="24"/>
        <v>16974</v>
      </c>
      <c r="Y17" s="309">
        <f t="shared" si="12"/>
        <v>0</v>
      </c>
      <c r="Z17" s="309">
        <f t="shared" si="13"/>
        <v>0</v>
      </c>
      <c r="AA17" s="309">
        <f t="shared" si="14"/>
        <v>0</v>
      </c>
      <c r="AB17" s="309">
        <f t="shared" si="15"/>
        <v>0</v>
      </c>
      <c r="AC17" s="309">
        <f t="shared" si="16"/>
        <v>290.05</v>
      </c>
      <c r="AD17" s="309">
        <f t="shared" si="17"/>
        <v>72.51</v>
      </c>
      <c r="AE17" s="309">
        <f t="shared" si="18"/>
        <v>18.13</v>
      </c>
      <c r="AF17" s="309">
        <f t="shared" si="19"/>
        <v>380.69</v>
      </c>
      <c r="AG17" s="309">
        <f t="shared" si="20"/>
        <v>380.69</v>
      </c>
      <c r="AH17" s="309" t="s">
        <v>63</v>
      </c>
      <c r="AI17" s="322" t="s">
        <v>39</v>
      </c>
    </row>
    <row r="18" spans="1:36" ht="13.5">
      <c r="A18" s="284" t="s">
        <v>64</v>
      </c>
      <c r="B18" s="285"/>
      <c r="C18" s="285"/>
      <c r="D18" s="286"/>
      <c r="E18" s="281">
        <f>SUM(E10:E17)</f>
        <v>28700</v>
      </c>
      <c r="F18" s="281">
        <f aca="true" t="shared" si="25" ref="F18:L18">SUM(F10:F17)</f>
        <v>820</v>
      </c>
      <c r="G18" s="281">
        <f t="shared" si="25"/>
        <v>235</v>
      </c>
      <c r="H18" s="281">
        <f t="shared" si="25"/>
        <v>1100</v>
      </c>
      <c r="I18" s="281">
        <f t="shared" si="25"/>
        <v>1848</v>
      </c>
      <c r="J18" s="281">
        <f t="shared" si="25"/>
        <v>2100</v>
      </c>
      <c r="K18" s="297">
        <f t="shared" si="25"/>
        <v>34803</v>
      </c>
      <c r="L18" s="281"/>
      <c r="M18" s="299">
        <f>SUM(M10:M17)</f>
        <v>6704.11</v>
      </c>
      <c r="N18" s="299">
        <f aca="true" t="shared" si="26" ref="N18:X18">SUM(N10:N17)</f>
        <v>3570.1099999999997</v>
      </c>
      <c r="O18" s="299">
        <f t="shared" si="26"/>
        <v>210.03</v>
      </c>
      <c r="P18" s="299">
        <f t="shared" si="26"/>
        <v>117.6</v>
      </c>
      <c r="Q18" s="299">
        <f t="shared" si="26"/>
        <v>0</v>
      </c>
      <c r="R18" s="299">
        <f t="shared" si="26"/>
        <v>4994</v>
      </c>
      <c r="S18" s="299">
        <f t="shared" si="26"/>
        <v>14344.720000000001</v>
      </c>
      <c r="T18" s="299">
        <f t="shared" si="26"/>
        <v>10758.539999999999</v>
      </c>
      <c r="U18" s="307">
        <f t="shared" si="26"/>
        <v>9300</v>
      </c>
      <c r="V18" s="299">
        <f t="shared" si="26"/>
        <v>59698.850000000006</v>
      </c>
      <c r="W18" s="306">
        <f t="shared" si="26"/>
        <v>198500</v>
      </c>
      <c r="X18" s="299">
        <f t="shared" si="26"/>
        <v>929489.4600000001</v>
      </c>
      <c r="Y18" s="315"/>
      <c r="Z18" s="315"/>
      <c r="AA18" s="315"/>
      <c r="AB18" s="315"/>
      <c r="AC18" s="315"/>
      <c r="AD18" s="315"/>
      <c r="AE18" s="315"/>
      <c r="AF18" s="315"/>
      <c r="AG18" s="315"/>
      <c r="AH18" s="315"/>
      <c r="AI18" s="323"/>
      <c r="AJ18" s="263">
        <f>SUM(U10:U16)*12+W18</f>
        <v>307700</v>
      </c>
    </row>
    <row r="19" spans="1:36" ht="13.5">
      <c r="A19" s="269">
        <v>11</v>
      </c>
      <c r="B19" s="269" t="s">
        <v>55</v>
      </c>
      <c r="C19" s="287" t="s">
        <v>65</v>
      </c>
      <c r="D19" s="287" t="s">
        <v>48</v>
      </c>
      <c r="E19" s="277">
        <v>5300</v>
      </c>
      <c r="F19" s="277">
        <v>110</v>
      </c>
      <c r="G19" s="277"/>
      <c r="H19" s="277">
        <v>250</v>
      </c>
      <c r="I19" s="277">
        <v>264</v>
      </c>
      <c r="J19" s="277">
        <v>300</v>
      </c>
      <c r="K19" s="295">
        <f aca="true" t="shared" si="27" ref="K19:K25">SUM(E19:J19)</f>
        <v>6224</v>
      </c>
      <c r="L19" s="277">
        <v>7527</v>
      </c>
      <c r="M19" s="296">
        <f aca="true" t="shared" si="28" ref="M19:M25">ROUND(IF(L19&gt;4660.7,L19,4660.7)*16%,2)</f>
        <v>1204.32</v>
      </c>
      <c r="N19" s="296">
        <f aca="true" t="shared" si="29" ref="N19:N25">ROUND(IF(L19&gt;4761.1,L19,4761.1)*8.5%,2)</f>
        <v>639.8</v>
      </c>
      <c r="O19" s="296">
        <f aca="true" t="shared" si="30" ref="O19:O25">ROUND(IF(L19&gt;4761.1,L19,4761.1)*0.5%,2)</f>
        <v>37.64</v>
      </c>
      <c r="P19" s="296">
        <f aca="true" t="shared" si="31" ref="P19:P25">ROUND(IF(L19&gt;4761.1,L19,4761.1)*0.28%,2)</f>
        <v>21.08</v>
      </c>
      <c r="Q19" s="296"/>
      <c r="R19" s="296">
        <f aca="true" t="shared" si="32" ref="R19:R25">CEILING(L19*12%,1)</f>
        <v>904</v>
      </c>
      <c r="S19" s="296">
        <f aca="true" t="shared" si="33" ref="S19:S24">((SUM(E19:I19)+U19)*12+J19*7+W19)*2%</f>
        <v>2573.76</v>
      </c>
      <c r="T19" s="296">
        <f aca="true" t="shared" si="34" ref="T19:T24">((SUM(E19:I19)+U19)*12+J19*7+W19)*1.5%</f>
        <v>1930.32</v>
      </c>
      <c r="U19" s="305">
        <v>1500</v>
      </c>
      <c r="V19" s="296">
        <f aca="true" t="shared" si="35" ref="V19:V24">SUM(K19:R19)-L19+U19</f>
        <v>10530.839999999997</v>
      </c>
      <c r="W19" s="305">
        <v>37500</v>
      </c>
      <c r="X19" s="296">
        <f aca="true" t="shared" si="36" ref="X19:X24">V19*12+W19+S19+T19-J19*5</f>
        <v>166874.15999999997</v>
      </c>
      <c r="Y19" s="309">
        <f aca="true" t="shared" si="37" ref="Y19:Y25">ROUND(L19*8%,2)</f>
        <v>602.16</v>
      </c>
      <c r="Z19" s="309">
        <f aca="true" t="shared" si="38" ref="Z19:Z25">ROUND(L19*2%,2)</f>
        <v>150.54</v>
      </c>
      <c r="AA19" s="309">
        <f aca="true" t="shared" si="39" ref="AA19:AA25">ROUND(L19*0.5%,2)</f>
        <v>37.64</v>
      </c>
      <c r="AB19" s="309">
        <f aca="true" t="shared" si="40" ref="AB19:AB25">SUM(Y19:AA19)</f>
        <v>790.3399999999999</v>
      </c>
      <c r="AC19" s="309">
        <f aca="true" t="shared" si="41" ref="AC19:AC25">ROUND(IF(L19&gt;3453*105%,L19,3453*105%)*8%,2)</f>
        <v>602.16</v>
      </c>
      <c r="AD19" s="309">
        <f aca="true" t="shared" si="42" ref="AD19:AD25">ROUND(IF(L19&gt;3453*105%,L19,3453*105%)*2%,2)</f>
        <v>150.54</v>
      </c>
      <c r="AE19" s="309">
        <f aca="true" t="shared" si="43" ref="AE19:AE25">ROUND(IF(L19&gt;3453*105%,L19,3453*105%)*0.5%,2)</f>
        <v>37.64</v>
      </c>
      <c r="AF19" s="309">
        <f aca="true" t="shared" si="44" ref="AF19:AF25">SUM(AC19:AE19)</f>
        <v>790.3399999999999</v>
      </c>
      <c r="AG19" s="309">
        <f aca="true" t="shared" si="45" ref="AG19:AG23">AF19-AB19</f>
        <v>0</v>
      </c>
      <c r="AH19" s="309"/>
      <c r="AI19" s="322" t="s">
        <v>39</v>
      </c>
      <c r="AJ19" s="263">
        <f>SUMIF(AI:AI,"*中层",H:H)</f>
        <v>5310</v>
      </c>
    </row>
    <row r="20" spans="1:36" ht="13.5">
      <c r="A20" s="269">
        <v>12</v>
      </c>
      <c r="B20" s="269" t="s">
        <v>55</v>
      </c>
      <c r="C20" s="287" t="s">
        <v>66</v>
      </c>
      <c r="D20" s="287" t="s">
        <v>62</v>
      </c>
      <c r="E20" s="277">
        <v>4600</v>
      </c>
      <c r="F20" s="277">
        <v>80</v>
      </c>
      <c r="G20" s="277"/>
      <c r="H20" s="277">
        <v>200</v>
      </c>
      <c r="I20" s="277">
        <v>264</v>
      </c>
      <c r="J20" s="277">
        <v>300</v>
      </c>
      <c r="K20" s="295">
        <f t="shared" si="27"/>
        <v>5444</v>
      </c>
      <c r="L20" s="277">
        <v>6659</v>
      </c>
      <c r="M20" s="296">
        <f t="shared" si="28"/>
        <v>1065.44</v>
      </c>
      <c r="N20" s="296">
        <f t="shared" si="29"/>
        <v>566.02</v>
      </c>
      <c r="O20" s="296">
        <f t="shared" si="30"/>
        <v>33.3</v>
      </c>
      <c r="P20" s="296">
        <f t="shared" si="31"/>
        <v>18.65</v>
      </c>
      <c r="Q20" s="296"/>
      <c r="R20" s="296">
        <f t="shared" si="32"/>
        <v>800</v>
      </c>
      <c r="S20" s="296">
        <f t="shared" si="33"/>
        <v>2282.56</v>
      </c>
      <c r="T20" s="296">
        <f t="shared" si="34"/>
        <v>1711.9199999999998</v>
      </c>
      <c r="U20" s="305">
        <v>1400</v>
      </c>
      <c r="V20" s="296">
        <f t="shared" si="35"/>
        <v>9327.41</v>
      </c>
      <c r="W20" s="305">
        <v>33500</v>
      </c>
      <c r="X20" s="296">
        <f t="shared" si="36"/>
        <v>147923.4</v>
      </c>
      <c r="Y20" s="309">
        <f t="shared" si="37"/>
        <v>532.72</v>
      </c>
      <c r="Z20" s="309">
        <f t="shared" si="38"/>
        <v>133.18</v>
      </c>
      <c r="AA20" s="309">
        <f t="shared" si="39"/>
        <v>33.3</v>
      </c>
      <c r="AB20" s="309">
        <f t="shared" si="40"/>
        <v>699.2</v>
      </c>
      <c r="AC20" s="309">
        <f t="shared" si="41"/>
        <v>532.72</v>
      </c>
      <c r="AD20" s="309">
        <f t="shared" si="42"/>
        <v>133.18</v>
      </c>
      <c r="AE20" s="309">
        <f t="shared" si="43"/>
        <v>33.3</v>
      </c>
      <c r="AF20" s="309">
        <f t="shared" si="44"/>
        <v>699.2</v>
      </c>
      <c r="AG20" s="309">
        <f t="shared" si="45"/>
        <v>0</v>
      </c>
      <c r="AH20" s="309"/>
      <c r="AI20" s="322" t="s">
        <v>39</v>
      </c>
      <c r="AJ20" s="263">
        <f>SUMIF(AI:AI,"*中层",I:I)</f>
        <v>5808</v>
      </c>
    </row>
    <row r="21" spans="1:35" ht="12.75">
      <c r="A21" s="269">
        <v>13</v>
      </c>
      <c r="B21" s="269" t="s">
        <v>46</v>
      </c>
      <c r="C21" s="287" t="s">
        <v>67</v>
      </c>
      <c r="D21" s="287" t="s">
        <v>53</v>
      </c>
      <c r="E21" s="277">
        <v>3900</v>
      </c>
      <c r="F21" s="277">
        <v>70</v>
      </c>
      <c r="G21" s="277"/>
      <c r="H21" s="277">
        <v>150</v>
      </c>
      <c r="I21" s="277">
        <v>264</v>
      </c>
      <c r="J21" s="277">
        <v>300</v>
      </c>
      <c r="K21" s="295">
        <f t="shared" si="27"/>
        <v>4684</v>
      </c>
      <c r="L21" s="277">
        <v>5812</v>
      </c>
      <c r="M21" s="296">
        <f t="shared" si="28"/>
        <v>929.92</v>
      </c>
      <c r="N21" s="296">
        <f t="shared" si="29"/>
        <v>494.02</v>
      </c>
      <c r="O21" s="296">
        <f t="shared" si="30"/>
        <v>29.06</v>
      </c>
      <c r="P21" s="296">
        <f t="shared" si="31"/>
        <v>16.27</v>
      </c>
      <c r="Q21" s="296"/>
      <c r="R21" s="296">
        <f t="shared" si="32"/>
        <v>698</v>
      </c>
      <c r="S21" s="296">
        <f t="shared" si="33"/>
        <v>1976.16</v>
      </c>
      <c r="T21" s="296">
        <f t="shared" si="34"/>
        <v>1482.12</v>
      </c>
      <c r="U21" s="305">
        <v>1300</v>
      </c>
      <c r="V21" s="296">
        <f t="shared" si="35"/>
        <v>8151.27</v>
      </c>
      <c r="W21" s="305">
        <v>28500</v>
      </c>
      <c r="X21" s="296">
        <f t="shared" si="36"/>
        <v>128273.52</v>
      </c>
      <c r="Y21" s="309">
        <f t="shared" si="37"/>
        <v>464.96</v>
      </c>
      <c r="Z21" s="309">
        <f t="shared" si="38"/>
        <v>116.24</v>
      </c>
      <c r="AA21" s="309">
        <f t="shared" si="39"/>
        <v>29.06</v>
      </c>
      <c r="AB21" s="309">
        <f t="shared" si="40"/>
        <v>610.2599999999999</v>
      </c>
      <c r="AC21" s="309">
        <f t="shared" si="41"/>
        <v>464.96</v>
      </c>
      <c r="AD21" s="309">
        <f t="shared" si="42"/>
        <v>116.24</v>
      </c>
      <c r="AE21" s="309">
        <f t="shared" si="43"/>
        <v>29.06</v>
      </c>
      <c r="AF21" s="309">
        <f t="shared" si="44"/>
        <v>610.2599999999999</v>
      </c>
      <c r="AG21" s="309">
        <f t="shared" si="45"/>
        <v>0</v>
      </c>
      <c r="AH21" s="309"/>
      <c r="AI21" s="322" t="s">
        <v>54</v>
      </c>
    </row>
    <row r="22" spans="1:35" ht="12.75">
      <c r="A22" s="269">
        <v>14</v>
      </c>
      <c r="B22" s="269" t="s">
        <v>55</v>
      </c>
      <c r="C22" s="287" t="s">
        <v>68</v>
      </c>
      <c r="D22" s="287" t="s">
        <v>54</v>
      </c>
      <c r="E22" s="277">
        <v>3200</v>
      </c>
      <c r="F22" s="277">
        <v>50</v>
      </c>
      <c r="G22" s="277"/>
      <c r="H22" s="277">
        <v>100</v>
      </c>
      <c r="I22" s="277">
        <v>264</v>
      </c>
      <c r="J22" s="277">
        <v>300</v>
      </c>
      <c r="K22" s="295">
        <f t="shared" si="27"/>
        <v>3914</v>
      </c>
      <c r="L22" s="277">
        <v>4954</v>
      </c>
      <c r="M22" s="296">
        <f t="shared" si="28"/>
        <v>792.64</v>
      </c>
      <c r="N22" s="296">
        <f t="shared" si="29"/>
        <v>421.09</v>
      </c>
      <c r="O22" s="296">
        <f t="shared" si="30"/>
        <v>24.77</v>
      </c>
      <c r="P22" s="296">
        <f t="shared" si="31"/>
        <v>13.87</v>
      </c>
      <c r="Q22" s="296"/>
      <c r="R22" s="296">
        <f t="shared" si="32"/>
        <v>595</v>
      </c>
      <c r="S22" s="296">
        <f t="shared" si="33"/>
        <v>1647.3600000000001</v>
      </c>
      <c r="T22" s="296">
        <f t="shared" si="34"/>
        <v>1235.52</v>
      </c>
      <c r="U22" s="305">
        <v>1200</v>
      </c>
      <c r="V22" s="296">
        <f t="shared" si="35"/>
        <v>6961.370000000001</v>
      </c>
      <c r="W22" s="305">
        <v>22500</v>
      </c>
      <c r="X22" s="296">
        <f t="shared" si="36"/>
        <v>107419.32</v>
      </c>
      <c r="Y22" s="309">
        <f t="shared" si="37"/>
        <v>396.32</v>
      </c>
      <c r="Z22" s="309">
        <f t="shared" si="38"/>
        <v>99.08</v>
      </c>
      <c r="AA22" s="309">
        <f t="shared" si="39"/>
        <v>24.77</v>
      </c>
      <c r="AB22" s="309">
        <f t="shared" si="40"/>
        <v>520.17</v>
      </c>
      <c r="AC22" s="309">
        <f t="shared" si="41"/>
        <v>396.32</v>
      </c>
      <c r="AD22" s="309">
        <f t="shared" si="42"/>
        <v>99.08</v>
      </c>
      <c r="AE22" s="309">
        <f t="shared" si="43"/>
        <v>24.77</v>
      </c>
      <c r="AF22" s="309">
        <f t="shared" si="44"/>
        <v>520.17</v>
      </c>
      <c r="AG22" s="309">
        <f t="shared" si="45"/>
        <v>0</v>
      </c>
      <c r="AH22" s="309"/>
      <c r="AI22" s="322" t="s">
        <v>54</v>
      </c>
    </row>
    <row r="23" spans="1:35" ht="12.75">
      <c r="A23" s="269">
        <v>15</v>
      </c>
      <c r="B23" s="269"/>
      <c r="C23" s="287" t="s">
        <v>69</v>
      </c>
      <c r="D23" s="287" t="s">
        <v>54</v>
      </c>
      <c r="E23" s="277">
        <v>3200</v>
      </c>
      <c r="F23" s="277">
        <v>30</v>
      </c>
      <c r="G23" s="277"/>
      <c r="H23" s="277">
        <v>100</v>
      </c>
      <c r="I23" s="277">
        <v>264</v>
      </c>
      <c r="J23" s="277">
        <v>300</v>
      </c>
      <c r="K23" s="295">
        <f t="shared" si="27"/>
        <v>3894</v>
      </c>
      <c r="L23" s="277">
        <v>4934</v>
      </c>
      <c r="M23" s="296">
        <f t="shared" si="28"/>
        <v>789.44</v>
      </c>
      <c r="N23" s="296">
        <f t="shared" si="29"/>
        <v>419.39</v>
      </c>
      <c r="O23" s="296">
        <f t="shared" si="30"/>
        <v>24.67</v>
      </c>
      <c r="P23" s="296">
        <f t="shared" si="31"/>
        <v>13.82</v>
      </c>
      <c r="Q23" s="296"/>
      <c r="R23" s="296">
        <f t="shared" si="32"/>
        <v>593</v>
      </c>
      <c r="S23" s="296">
        <f t="shared" si="33"/>
        <v>1642.56</v>
      </c>
      <c r="T23" s="296">
        <f t="shared" si="34"/>
        <v>1231.9199999999998</v>
      </c>
      <c r="U23" s="305">
        <v>1200</v>
      </c>
      <c r="V23" s="296">
        <f t="shared" si="35"/>
        <v>6934.32</v>
      </c>
      <c r="W23" s="305">
        <v>22500</v>
      </c>
      <c r="X23" s="296">
        <f t="shared" si="36"/>
        <v>107086.31999999999</v>
      </c>
      <c r="Y23" s="309">
        <f t="shared" si="37"/>
        <v>394.72</v>
      </c>
      <c r="Z23" s="309">
        <f t="shared" si="38"/>
        <v>98.68</v>
      </c>
      <c r="AA23" s="309">
        <f t="shared" si="39"/>
        <v>24.67</v>
      </c>
      <c r="AB23" s="309">
        <f t="shared" si="40"/>
        <v>518.07</v>
      </c>
      <c r="AC23" s="309">
        <f t="shared" si="41"/>
        <v>394.72</v>
      </c>
      <c r="AD23" s="309">
        <f t="shared" si="42"/>
        <v>98.68</v>
      </c>
      <c r="AE23" s="309">
        <f t="shared" si="43"/>
        <v>24.67</v>
      </c>
      <c r="AF23" s="309">
        <f t="shared" si="44"/>
        <v>518.07</v>
      </c>
      <c r="AG23" s="309">
        <f t="shared" si="45"/>
        <v>0</v>
      </c>
      <c r="AH23" s="309"/>
      <c r="AI23" s="322" t="s">
        <v>54</v>
      </c>
    </row>
    <row r="24" spans="1:35" ht="12.75">
      <c r="A24" s="269">
        <v>16</v>
      </c>
      <c r="B24" s="288"/>
      <c r="C24" s="287" t="s">
        <v>70</v>
      </c>
      <c r="D24" s="287" t="s">
        <v>54</v>
      </c>
      <c r="E24" s="277">
        <v>3200</v>
      </c>
      <c r="F24" s="277">
        <v>10</v>
      </c>
      <c r="G24" s="277"/>
      <c r="H24" s="277">
        <v>100</v>
      </c>
      <c r="I24" s="277">
        <v>264</v>
      </c>
      <c r="J24" s="277">
        <v>300</v>
      </c>
      <c r="K24" s="295">
        <f t="shared" si="27"/>
        <v>3874</v>
      </c>
      <c r="L24" s="277">
        <v>4491.6</v>
      </c>
      <c r="M24" s="296">
        <f t="shared" si="28"/>
        <v>745.71</v>
      </c>
      <c r="N24" s="296">
        <f t="shared" si="29"/>
        <v>404.69</v>
      </c>
      <c r="O24" s="296">
        <f t="shared" si="30"/>
        <v>23.81</v>
      </c>
      <c r="P24" s="296">
        <f t="shared" si="31"/>
        <v>13.33</v>
      </c>
      <c r="Q24" s="296"/>
      <c r="R24" s="296">
        <f>CEILING(3210*12%,1)</f>
        <v>386</v>
      </c>
      <c r="S24" s="296">
        <f t="shared" si="33"/>
        <v>1637.76</v>
      </c>
      <c r="T24" s="296">
        <f t="shared" si="34"/>
        <v>1228.32</v>
      </c>
      <c r="U24" s="305">
        <v>1200</v>
      </c>
      <c r="V24" s="296">
        <f t="shared" si="35"/>
        <v>6647.540000000001</v>
      </c>
      <c r="W24" s="305">
        <v>22500</v>
      </c>
      <c r="X24" s="296">
        <f t="shared" si="36"/>
        <v>103636.56000000001</v>
      </c>
      <c r="Y24" s="309">
        <f t="shared" si="37"/>
        <v>359.33</v>
      </c>
      <c r="Z24" s="309">
        <f t="shared" si="38"/>
        <v>89.83</v>
      </c>
      <c r="AA24" s="309">
        <f t="shared" si="39"/>
        <v>22.46</v>
      </c>
      <c r="AB24" s="309">
        <f t="shared" si="40"/>
        <v>471.61999999999995</v>
      </c>
      <c r="AC24" s="309">
        <f t="shared" si="41"/>
        <v>359.33</v>
      </c>
      <c r="AD24" s="309">
        <f t="shared" si="42"/>
        <v>89.83</v>
      </c>
      <c r="AE24" s="309">
        <f t="shared" si="43"/>
        <v>22.46</v>
      </c>
      <c r="AF24" s="309">
        <f t="shared" si="44"/>
        <v>471.61999999999995</v>
      </c>
      <c r="AG24" s="309"/>
      <c r="AH24" s="309" t="s">
        <v>71</v>
      </c>
      <c r="AI24" s="322" t="s">
        <v>54</v>
      </c>
    </row>
    <row r="25" spans="1:35" ht="12.75">
      <c r="A25" s="269"/>
      <c r="B25" s="282"/>
      <c r="C25" s="287"/>
      <c r="D25" s="287"/>
      <c r="E25" s="277"/>
      <c r="F25" s="277"/>
      <c r="G25" s="277"/>
      <c r="H25" s="277"/>
      <c r="I25" s="277"/>
      <c r="J25" s="277"/>
      <c r="K25" s="295">
        <f t="shared" si="27"/>
        <v>0</v>
      </c>
      <c r="L25" s="277"/>
      <c r="M25" s="296"/>
      <c r="N25" s="296"/>
      <c r="O25" s="296"/>
      <c r="P25" s="296"/>
      <c r="Q25" s="296"/>
      <c r="R25" s="296"/>
      <c r="S25" s="296"/>
      <c r="T25" s="296"/>
      <c r="U25" s="305"/>
      <c r="V25" s="296">
        <f>SUM(E25:I25)+SUM(M25:R25)+U25</f>
        <v>0</v>
      </c>
      <c r="W25" s="305"/>
      <c r="X25" s="296">
        <f>V25*9+W25+S25+T25+J25*7</f>
        <v>0</v>
      </c>
      <c r="Y25" s="309">
        <f t="shared" si="37"/>
        <v>0</v>
      </c>
      <c r="Z25" s="309">
        <f t="shared" si="38"/>
        <v>0</v>
      </c>
      <c r="AA25" s="309">
        <f t="shared" si="39"/>
        <v>0</v>
      </c>
      <c r="AB25" s="309">
        <f t="shared" si="40"/>
        <v>0</v>
      </c>
      <c r="AC25" s="309">
        <f t="shared" si="41"/>
        <v>290.05</v>
      </c>
      <c r="AD25" s="309">
        <f t="shared" si="42"/>
        <v>72.51</v>
      </c>
      <c r="AE25" s="309">
        <f t="shared" si="43"/>
        <v>18.13</v>
      </c>
      <c r="AF25" s="309">
        <f t="shared" si="44"/>
        <v>380.69</v>
      </c>
      <c r="AG25" s="309">
        <f aca="true" t="shared" si="46" ref="AG25:AG30">AF25-AB25</f>
        <v>380.69</v>
      </c>
      <c r="AH25" s="309" t="s">
        <v>72</v>
      </c>
      <c r="AI25" s="322"/>
    </row>
    <row r="26" spans="1:36" ht="13.5">
      <c r="A26" s="284" t="s">
        <v>73</v>
      </c>
      <c r="B26" s="285"/>
      <c r="C26" s="285"/>
      <c r="D26" s="286"/>
      <c r="E26" s="281">
        <f>SUM(E19:E25)</f>
        <v>23400</v>
      </c>
      <c r="F26" s="277">
        <f aca="true" t="shared" si="47" ref="F26:L26">SUM(F19:F25)</f>
        <v>350</v>
      </c>
      <c r="G26" s="281">
        <f t="shared" si="47"/>
        <v>0</v>
      </c>
      <c r="H26" s="281">
        <f t="shared" si="47"/>
        <v>900</v>
      </c>
      <c r="I26" s="281">
        <f t="shared" si="47"/>
        <v>1584</v>
      </c>
      <c r="J26" s="281">
        <f t="shared" si="47"/>
        <v>1800</v>
      </c>
      <c r="K26" s="297">
        <f t="shared" si="47"/>
        <v>28034</v>
      </c>
      <c r="L26" s="281"/>
      <c r="M26" s="299">
        <f>SUM(M19:M25)</f>
        <v>5527.47</v>
      </c>
      <c r="N26" s="299">
        <f aca="true" t="shared" si="48" ref="N26:X26">SUM(N19:N25)</f>
        <v>2945.0099999999998</v>
      </c>
      <c r="O26" s="299">
        <f t="shared" si="48"/>
        <v>173.25</v>
      </c>
      <c r="P26" s="299">
        <f t="shared" si="48"/>
        <v>97.02</v>
      </c>
      <c r="Q26" s="299">
        <f t="shared" si="48"/>
        <v>0</v>
      </c>
      <c r="R26" s="299">
        <f t="shared" si="48"/>
        <v>3976</v>
      </c>
      <c r="S26" s="299">
        <f t="shared" si="48"/>
        <v>11760.16</v>
      </c>
      <c r="T26" s="299">
        <f t="shared" si="48"/>
        <v>8820.119999999999</v>
      </c>
      <c r="U26" s="307">
        <f t="shared" si="48"/>
        <v>7800</v>
      </c>
      <c r="V26" s="299">
        <f t="shared" si="48"/>
        <v>48552.75</v>
      </c>
      <c r="W26" s="307">
        <f t="shared" si="48"/>
        <v>167000</v>
      </c>
      <c r="X26" s="299">
        <f t="shared" si="48"/>
        <v>761213.2799999999</v>
      </c>
      <c r="Y26" s="315" t="e">
        <f>(#REF!+U26)*12+W26</f>
        <v>#REF!</v>
      </c>
      <c r="Z26" s="315"/>
      <c r="AA26" s="315"/>
      <c r="AB26" s="315"/>
      <c r="AC26" s="315"/>
      <c r="AD26" s="315"/>
      <c r="AE26" s="315"/>
      <c r="AF26" s="315"/>
      <c r="AG26" s="315"/>
      <c r="AH26" s="315"/>
      <c r="AI26" s="323"/>
      <c r="AJ26" s="263">
        <f>SUM(U19:U24)*12+U25*9+W26</f>
        <v>260600</v>
      </c>
    </row>
    <row r="27" spans="1:36" ht="13.5">
      <c r="A27" s="269">
        <v>17</v>
      </c>
      <c r="B27" s="269" t="s">
        <v>46</v>
      </c>
      <c r="C27" s="269" t="s">
        <v>74</v>
      </c>
      <c r="D27" s="269" t="s">
        <v>48</v>
      </c>
      <c r="E27" s="277">
        <v>5300</v>
      </c>
      <c r="F27" s="277">
        <v>380</v>
      </c>
      <c r="G27" s="277">
        <v>220</v>
      </c>
      <c r="H27" s="277">
        <v>250</v>
      </c>
      <c r="I27" s="277">
        <v>264</v>
      </c>
      <c r="J27" s="277">
        <v>300</v>
      </c>
      <c r="K27" s="295">
        <f>SUM(E27:J27)</f>
        <v>6714</v>
      </c>
      <c r="L27" s="277">
        <v>7120</v>
      </c>
      <c r="M27" s="296">
        <f aca="true" t="shared" si="49" ref="M27:M31">ROUND(IF(L27&gt;4660.7,L27,4660.7)*16%,2)</f>
        <v>1139.2</v>
      </c>
      <c r="N27" s="296">
        <f aca="true" t="shared" si="50" ref="N27:N31">ROUND(IF(L27&gt;4761.1,L27,4761.1)*8.5%,2)</f>
        <v>605.2</v>
      </c>
      <c r="O27" s="296">
        <f aca="true" t="shared" si="51" ref="O27:O31">ROUND(IF(L27&gt;4761.1,L27,4761.1)*0.5%,2)</f>
        <v>35.6</v>
      </c>
      <c r="P27" s="296">
        <f aca="true" t="shared" si="52" ref="P27:P31">ROUND(IF(L27&gt;4761.1,L27,4761.1)*0.28%,2)</f>
        <v>19.94</v>
      </c>
      <c r="Q27" s="296"/>
      <c r="R27" s="296">
        <f aca="true" t="shared" si="53" ref="R27:R31">CEILING(L27*12%,1)</f>
        <v>855</v>
      </c>
      <c r="S27" s="296">
        <f>((SUM(E27:I27)+U27)*12+J27*7+W27)*2%</f>
        <v>2691.36</v>
      </c>
      <c r="T27" s="296">
        <f>((SUM(E27:I27)+U27)*12+J27*7+W27)*1.5%</f>
        <v>2018.52</v>
      </c>
      <c r="U27" s="305">
        <v>1500</v>
      </c>
      <c r="V27" s="296">
        <f>SUM(K27:R27)-L27+U27</f>
        <v>10868.940000000002</v>
      </c>
      <c r="W27" s="305">
        <v>37500</v>
      </c>
      <c r="X27" s="296">
        <f>V27*12+W27+S27+T27-J27*5</f>
        <v>171137.16</v>
      </c>
      <c r="Y27" s="309">
        <f aca="true" t="shared" si="54" ref="Y27:Y31">ROUND(L27*8%,2)</f>
        <v>569.6</v>
      </c>
      <c r="Z27" s="309">
        <f aca="true" t="shared" si="55" ref="Z27:Z31">ROUND(L27*2%,2)</f>
        <v>142.4</v>
      </c>
      <c r="AA27" s="309">
        <f aca="true" t="shared" si="56" ref="AA27:AA31">ROUND(L27*0.5%,2)</f>
        <v>35.6</v>
      </c>
      <c r="AB27" s="309">
        <f aca="true" t="shared" si="57" ref="AB27:AB31">SUM(Y27:AA27)</f>
        <v>747.6</v>
      </c>
      <c r="AC27" s="309">
        <f aca="true" t="shared" si="58" ref="AC27:AC31">ROUND(IF(L27&gt;3453*105%,L27,3453*105%)*8%,2)</f>
        <v>569.6</v>
      </c>
      <c r="AD27" s="309">
        <f aca="true" t="shared" si="59" ref="AD27:AD31">ROUND(IF(L27&gt;3453*105%,L27,3453*105%)*2%,2)</f>
        <v>142.4</v>
      </c>
      <c r="AE27" s="309">
        <f aca="true" t="shared" si="60" ref="AE27:AE31">ROUND(IF(L27&gt;3453*105%,L27,3453*105%)*0.5%,2)</f>
        <v>35.6</v>
      </c>
      <c r="AF27" s="309">
        <f aca="true" t="shared" si="61" ref="AF27:AF31">SUM(AC27:AE27)</f>
        <v>747.6</v>
      </c>
      <c r="AG27" s="309">
        <f t="shared" si="46"/>
        <v>0</v>
      </c>
      <c r="AH27" s="309"/>
      <c r="AI27" s="322" t="s">
        <v>39</v>
      </c>
      <c r="AJ27" s="263">
        <f>SUMIF(AI:AI,"*中层",J:J)</f>
        <v>6600</v>
      </c>
    </row>
    <row r="28" spans="1:36" ht="14.25">
      <c r="A28" s="269">
        <v>18</v>
      </c>
      <c r="B28" s="269" t="s">
        <v>75</v>
      </c>
      <c r="C28" s="269" t="s">
        <v>76</v>
      </c>
      <c r="D28" s="269" t="s">
        <v>62</v>
      </c>
      <c r="E28" s="277">
        <v>4600</v>
      </c>
      <c r="F28" s="277">
        <v>140</v>
      </c>
      <c r="G28" s="277">
        <v>220</v>
      </c>
      <c r="H28" s="277">
        <v>200</v>
      </c>
      <c r="I28" s="277">
        <v>264</v>
      </c>
      <c r="J28" s="277">
        <v>300</v>
      </c>
      <c r="K28" s="295">
        <f>SUM(E28:J28)</f>
        <v>5724</v>
      </c>
      <c r="L28" s="277">
        <v>4415</v>
      </c>
      <c r="M28" s="296">
        <f t="shared" si="49"/>
        <v>745.71</v>
      </c>
      <c r="N28" s="296">
        <f t="shared" si="50"/>
        <v>404.69</v>
      </c>
      <c r="O28" s="296">
        <f t="shared" si="51"/>
        <v>23.81</v>
      </c>
      <c r="P28" s="296">
        <f t="shared" si="52"/>
        <v>13.33</v>
      </c>
      <c r="Q28" s="296"/>
      <c r="R28" s="296">
        <f t="shared" si="53"/>
        <v>530</v>
      </c>
      <c r="S28" s="296">
        <f>((SUM(E28:I28)+U28)*12+J28*7+W28)*2%</f>
        <v>2349.76</v>
      </c>
      <c r="T28" s="296">
        <f>((SUM(E28:I28)+U28)*12+J28*7+W28)*1.5%</f>
        <v>1762.32</v>
      </c>
      <c r="U28" s="305">
        <v>1400</v>
      </c>
      <c r="V28" s="296">
        <f>SUM(K28:R28)-L28+U28</f>
        <v>8841.539999999999</v>
      </c>
      <c r="W28" s="305">
        <v>33500</v>
      </c>
      <c r="X28" s="296">
        <f>V28*12+W28+S28+T28-J28*5</f>
        <v>142210.56</v>
      </c>
      <c r="Y28" s="309">
        <f t="shared" si="54"/>
        <v>353.2</v>
      </c>
      <c r="Z28" s="309">
        <f t="shared" si="55"/>
        <v>88.3</v>
      </c>
      <c r="AA28" s="309">
        <f t="shared" si="56"/>
        <v>22.08</v>
      </c>
      <c r="AB28" s="309">
        <f t="shared" si="57"/>
        <v>463.58</v>
      </c>
      <c r="AC28" s="309">
        <f t="shared" si="58"/>
        <v>353.2</v>
      </c>
      <c r="AD28" s="309">
        <f t="shared" si="59"/>
        <v>88.3</v>
      </c>
      <c r="AE28" s="309">
        <f t="shared" si="60"/>
        <v>22.08</v>
      </c>
      <c r="AF28" s="309">
        <f t="shared" si="61"/>
        <v>463.58</v>
      </c>
      <c r="AG28" s="309">
        <f t="shared" si="46"/>
        <v>0</v>
      </c>
      <c r="AH28" s="319"/>
      <c r="AI28" s="322" t="s">
        <v>39</v>
      </c>
      <c r="AJ28" s="263">
        <f>SUMIF(AI:AI,"*中层",F:F)</f>
        <v>4250</v>
      </c>
    </row>
    <row r="29" spans="1:35" ht="12.75">
      <c r="A29" s="269">
        <v>19</v>
      </c>
      <c r="B29" s="269" t="s">
        <v>46</v>
      </c>
      <c r="C29" s="269" t="s">
        <v>77</v>
      </c>
      <c r="D29" s="269" t="s">
        <v>53</v>
      </c>
      <c r="E29" s="277">
        <v>3900</v>
      </c>
      <c r="F29" s="277">
        <v>140</v>
      </c>
      <c r="G29" s="277">
        <f>220+500</f>
        <v>720</v>
      </c>
      <c r="H29" s="277">
        <v>150</v>
      </c>
      <c r="I29" s="277">
        <v>264</v>
      </c>
      <c r="J29" s="277">
        <v>300</v>
      </c>
      <c r="K29" s="295">
        <f>SUM(E29:J29)</f>
        <v>5474</v>
      </c>
      <c r="L29" s="277">
        <v>5137</v>
      </c>
      <c r="M29" s="296">
        <f t="shared" si="49"/>
        <v>821.92</v>
      </c>
      <c r="N29" s="296">
        <f t="shared" si="50"/>
        <v>436.65</v>
      </c>
      <c r="O29" s="296">
        <f t="shared" si="51"/>
        <v>25.69</v>
      </c>
      <c r="P29" s="296">
        <f t="shared" si="52"/>
        <v>14.38</v>
      </c>
      <c r="Q29" s="296"/>
      <c r="R29" s="296">
        <f t="shared" si="53"/>
        <v>617</v>
      </c>
      <c r="S29" s="296">
        <f>((SUM(E29:I29)+U29)*12+J29*7+W29)*2%</f>
        <v>2165.76</v>
      </c>
      <c r="T29" s="296">
        <f>((SUM(E29:I29)+U29)*12+J29*7+W29)*1.5%</f>
        <v>1624.32</v>
      </c>
      <c r="U29" s="305">
        <v>1300</v>
      </c>
      <c r="V29" s="296">
        <f>SUM(K29:R29)-L29+U29</f>
        <v>8689.64</v>
      </c>
      <c r="W29" s="305">
        <v>28500</v>
      </c>
      <c r="X29" s="296">
        <f>V29*12+W29+S29+T29-J29*5</f>
        <v>135065.76</v>
      </c>
      <c r="Y29" s="309">
        <f t="shared" si="54"/>
        <v>410.96</v>
      </c>
      <c r="Z29" s="309">
        <f t="shared" si="55"/>
        <v>102.74</v>
      </c>
      <c r="AA29" s="309">
        <f t="shared" si="56"/>
        <v>25.69</v>
      </c>
      <c r="AB29" s="309">
        <f t="shared" si="57"/>
        <v>539.39</v>
      </c>
      <c r="AC29" s="309">
        <f t="shared" si="58"/>
        <v>410.96</v>
      </c>
      <c r="AD29" s="309">
        <f t="shared" si="59"/>
        <v>102.74</v>
      </c>
      <c r="AE29" s="309">
        <f t="shared" si="60"/>
        <v>25.69</v>
      </c>
      <c r="AF29" s="309">
        <f t="shared" si="61"/>
        <v>539.39</v>
      </c>
      <c r="AG29" s="309">
        <f t="shared" si="46"/>
        <v>0</v>
      </c>
      <c r="AH29" s="309"/>
      <c r="AI29" s="322" t="s">
        <v>54</v>
      </c>
    </row>
    <row r="30" spans="1:35" ht="12.75">
      <c r="A30" s="269">
        <v>20</v>
      </c>
      <c r="B30" s="269" t="s">
        <v>55</v>
      </c>
      <c r="C30" s="269" t="s">
        <v>78</v>
      </c>
      <c r="D30" s="269" t="s">
        <v>54</v>
      </c>
      <c r="E30" s="277">
        <v>3200</v>
      </c>
      <c r="F30" s="277">
        <v>120</v>
      </c>
      <c r="G30" s="277">
        <v>220</v>
      </c>
      <c r="H30" s="277">
        <v>100</v>
      </c>
      <c r="I30" s="277">
        <v>264</v>
      </c>
      <c r="J30" s="277">
        <v>300</v>
      </c>
      <c r="K30" s="295">
        <f>SUM(E30:J30)</f>
        <v>4204</v>
      </c>
      <c r="L30" s="277">
        <v>4404</v>
      </c>
      <c r="M30" s="296">
        <f t="shared" si="49"/>
        <v>745.71</v>
      </c>
      <c r="N30" s="296">
        <f t="shared" si="50"/>
        <v>404.69</v>
      </c>
      <c r="O30" s="296">
        <f t="shared" si="51"/>
        <v>23.81</v>
      </c>
      <c r="P30" s="296">
        <f t="shared" si="52"/>
        <v>13.33</v>
      </c>
      <c r="Q30" s="296"/>
      <c r="R30" s="296">
        <f t="shared" si="53"/>
        <v>529</v>
      </c>
      <c r="S30" s="296">
        <f>((SUM(E30:I30)+U30)*12+J30*7+W30)*2%</f>
        <v>1716.96</v>
      </c>
      <c r="T30" s="296">
        <f>((SUM(E30:I30)+U30)*12+J30*7+W30)*1.5%</f>
        <v>1287.72</v>
      </c>
      <c r="U30" s="305">
        <v>1200</v>
      </c>
      <c r="V30" s="296">
        <f>SUM(K30:R30)-L30+U30</f>
        <v>7120.539999999999</v>
      </c>
      <c r="W30" s="305">
        <v>22500</v>
      </c>
      <c r="X30" s="296">
        <f>V30*12+W30+S30+T30-J30*5</f>
        <v>109451.15999999999</v>
      </c>
      <c r="Y30" s="309">
        <f t="shared" si="54"/>
        <v>352.32</v>
      </c>
      <c r="Z30" s="309">
        <f t="shared" si="55"/>
        <v>88.08</v>
      </c>
      <c r="AA30" s="309">
        <f t="shared" si="56"/>
        <v>22.02</v>
      </c>
      <c r="AB30" s="309">
        <f t="shared" si="57"/>
        <v>462.41999999999996</v>
      </c>
      <c r="AC30" s="309">
        <f t="shared" si="58"/>
        <v>352.32</v>
      </c>
      <c r="AD30" s="309">
        <f t="shared" si="59"/>
        <v>88.08</v>
      </c>
      <c r="AE30" s="309">
        <f t="shared" si="60"/>
        <v>22.02</v>
      </c>
      <c r="AF30" s="309">
        <f t="shared" si="61"/>
        <v>462.41999999999996</v>
      </c>
      <c r="AG30" s="309">
        <f t="shared" si="46"/>
        <v>0</v>
      </c>
      <c r="AH30" s="309"/>
      <c r="AI30" s="322" t="s">
        <v>54</v>
      </c>
    </row>
    <row r="31" spans="1:35" ht="12.75">
      <c r="A31" s="269"/>
      <c r="B31" s="269"/>
      <c r="C31" s="269"/>
      <c r="D31" s="269"/>
      <c r="E31" s="277"/>
      <c r="F31" s="277" t="s">
        <v>79</v>
      </c>
      <c r="G31" s="277"/>
      <c r="H31" s="277"/>
      <c r="I31" s="277"/>
      <c r="J31" s="277"/>
      <c r="K31" s="295">
        <f>SUM(E31:J31)</f>
        <v>0</v>
      </c>
      <c r="L31" s="277"/>
      <c r="M31" s="296"/>
      <c r="N31" s="296"/>
      <c r="O31" s="296"/>
      <c r="P31" s="296"/>
      <c r="Q31" s="296"/>
      <c r="R31" s="296"/>
      <c r="S31" s="296"/>
      <c r="T31" s="296"/>
      <c r="U31" s="305"/>
      <c r="V31" s="296"/>
      <c r="W31" s="305"/>
      <c r="X31" s="296">
        <f>V31*12+W31+S31+T31+J31*7</f>
        <v>0</v>
      </c>
      <c r="Y31" s="309">
        <f t="shared" si="54"/>
        <v>0</v>
      </c>
      <c r="Z31" s="309">
        <f t="shared" si="55"/>
        <v>0</v>
      </c>
      <c r="AA31" s="309">
        <f t="shared" si="56"/>
        <v>0</v>
      </c>
      <c r="AB31" s="309">
        <f t="shared" si="57"/>
        <v>0</v>
      </c>
      <c r="AC31" s="309">
        <f t="shared" si="58"/>
        <v>290.05</v>
      </c>
      <c r="AD31" s="309">
        <f t="shared" si="59"/>
        <v>72.51</v>
      </c>
      <c r="AE31" s="309">
        <f t="shared" si="60"/>
        <v>18.13</v>
      </c>
      <c r="AF31" s="309">
        <f t="shared" si="61"/>
        <v>380.69</v>
      </c>
      <c r="AG31" s="309"/>
      <c r="AH31" s="309" t="s">
        <v>71</v>
      </c>
      <c r="AI31" s="322"/>
    </row>
    <row r="32" spans="1:36" ht="14.25">
      <c r="A32" s="284" t="s">
        <v>80</v>
      </c>
      <c r="B32" s="285"/>
      <c r="C32" s="285"/>
      <c r="D32" s="286"/>
      <c r="E32" s="281">
        <f>SUM(E27:E31)</f>
        <v>17000</v>
      </c>
      <c r="F32" s="281">
        <f aca="true" t="shared" si="62" ref="F32:L32">SUM(F27:F31)</f>
        <v>780</v>
      </c>
      <c r="G32" s="281">
        <f t="shared" si="62"/>
        <v>1380</v>
      </c>
      <c r="H32" s="281">
        <f t="shared" si="62"/>
        <v>700</v>
      </c>
      <c r="I32" s="281">
        <f t="shared" si="62"/>
        <v>1056</v>
      </c>
      <c r="J32" s="281">
        <f t="shared" si="62"/>
        <v>1200</v>
      </c>
      <c r="K32" s="297">
        <f t="shared" si="62"/>
        <v>22116</v>
      </c>
      <c r="L32" s="281"/>
      <c r="M32" s="299">
        <f>SUM(M27:M31)</f>
        <v>3452.54</v>
      </c>
      <c r="N32" s="299">
        <f aca="true" t="shared" si="63" ref="N32:X32">SUM(N27:N31)</f>
        <v>1851.23</v>
      </c>
      <c r="O32" s="299">
        <f t="shared" si="63"/>
        <v>108.91</v>
      </c>
      <c r="P32" s="299">
        <f t="shared" si="63"/>
        <v>60.980000000000004</v>
      </c>
      <c r="Q32" s="299">
        <f t="shared" si="63"/>
        <v>0</v>
      </c>
      <c r="R32" s="299">
        <f t="shared" si="63"/>
        <v>2531</v>
      </c>
      <c r="S32" s="299">
        <f t="shared" si="63"/>
        <v>8923.84</v>
      </c>
      <c r="T32" s="299">
        <f t="shared" si="63"/>
        <v>6692.88</v>
      </c>
      <c r="U32" s="307">
        <f t="shared" si="63"/>
        <v>5400</v>
      </c>
      <c r="V32" s="299">
        <f t="shared" si="63"/>
        <v>35520.66</v>
      </c>
      <c r="W32" s="307">
        <f t="shared" si="63"/>
        <v>122000</v>
      </c>
      <c r="X32" s="299">
        <f t="shared" si="63"/>
        <v>557864.64</v>
      </c>
      <c r="Y32" s="315" t="e">
        <f>(#REF!+U32)*12+W32</f>
        <v>#REF!</v>
      </c>
      <c r="Z32" s="315"/>
      <c r="AA32" s="315"/>
      <c r="AB32" s="315"/>
      <c r="AC32" s="315"/>
      <c r="AD32" s="315"/>
      <c r="AE32" s="315"/>
      <c r="AF32" s="315"/>
      <c r="AG32" s="315">
        <f>SUM(AG27:AG29)</f>
        <v>0</v>
      </c>
      <c r="AH32" s="324"/>
      <c r="AI32" s="325"/>
      <c r="AJ32" s="263">
        <f>SUM(U27:U31)*12+W32</f>
        <v>186800</v>
      </c>
    </row>
    <row r="33" spans="1:36" ht="14.25">
      <c r="A33" s="269">
        <v>21</v>
      </c>
      <c r="B33" s="269"/>
      <c r="C33" s="269" t="s">
        <v>81</v>
      </c>
      <c r="D33" s="269" t="s">
        <v>82</v>
      </c>
      <c r="E33" s="277">
        <v>5300</v>
      </c>
      <c r="F33" s="277">
        <v>140</v>
      </c>
      <c r="G33" s="277">
        <v>200</v>
      </c>
      <c r="H33" s="277">
        <v>250</v>
      </c>
      <c r="I33" s="277">
        <v>264</v>
      </c>
      <c r="J33" s="277">
        <v>300</v>
      </c>
      <c r="K33" s="295">
        <f aca="true" t="shared" si="64" ref="K33:K39">SUM(E33:J33)</f>
        <v>6454</v>
      </c>
      <c r="L33" s="277">
        <v>7757</v>
      </c>
      <c r="M33" s="296">
        <f aca="true" t="shared" si="65" ref="M33:M39">ROUND(IF(L33&gt;4660.7,L33,4660.7)*16%,2)</f>
        <v>1241.12</v>
      </c>
      <c r="N33" s="296">
        <f aca="true" t="shared" si="66" ref="N33:N39">ROUND(IF(L33&gt;4761.1,L33,4761.1)*8.5%,2)</f>
        <v>659.35</v>
      </c>
      <c r="O33" s="296">
        <f aca="true" t="shared" si="67" ref="O33:O39">ROUND(IF(L33&gt;4761.1,L33,4761.1)*0.5%,2)</f>
        <v>38.79</v>
      </c>
      <c r="P33" s="296">
        <f aca="true" t="shared" si="68" ref="P33:P39">ROUND(IF(L33&gt;4761.1,L33,4761.1)*0.28%,2)</f>
        <v>21.72</v>
      </c>
      <c r="Q33" s="296"/>
      <c r="R33" s="296">
        <f aca="true" t="shared" si="69" ref="R33:R39">CEILING(L33*12%,1)</f>
        <v>931</v>
      </c>
      <c r="S33" s="296">
        <f>((SUM(E33:I33)+U33)*12+J33*7+W33)*2%</f>
        <v>2628.96</v>
      </c>
      <c r="T33" s="296">
        <f>((SUM(E33:I33)+U33)*12+J33*7+W33)*1.5%</f>
        <v>1971.72</v>
      </c>
      <c r="U33" s="305">
        <v>1500</v>
      </c>
      <c r="V33" s="296">
        <f>SUM(K33:R33)-L33+U33</f>
        <v>10845.98</v>
      </c>
      <c r="W33" s="305">
        <v>37500</v>
      </c>
      <c r="X33" s="296">
        <f>V33*12+W33+S33+T33-J33*5</f>
        <v>170752.44</v>
      </c>
      <c r="Y33" s="309">
        <f aca="true" t="shared" si="70" ref="Y33:Y38">ROUND(L33*8%,2)</f>
        <v>620.56</v>
      </c>
      <c r="Z33" s="309">
        <f aca="true" t="shared" si="71" ref="Z33:Z38">ROUND(L33*2%,2)</f>
        <v>155.14</v>
      </c>
      <c r="AA33" s="309">
        <f aca="true" t="shared" si="72" ref="AA33:AA38">ROUND(L33*0.5%,2)</f>
        <v>38.79</v>
      </c>
      <c r="AB33" s="309">
        <f aca="true" t="shared" si="73" ref="AB33:AB38">SUM(Y33:AA33)</f>
        <v>814.4899999999999</v>
      </c>
      <c r="AC33" s="309">
        <f aca="true" t="shared" si="74" ref="AC33:AC38">ROUND(IF(L33&gt;3453*105%,L33,3453*105%)*8%,2)</f>
        <v>620.56</v>
      </c>
      <c r="AD33" s="309">
        <f aca="true" t="shared" si="75" ref="AD33:AD38">ROUND(IF(L33&gt;3453*105%,L33,3453*105%)*2%,2)</f>
        <v>155.14</v>
      </c>
      <c r="AE33" s="309">
        <f aca="true" t="shared" si="76" ref="AE33:AE38">ROUND(IF(L33&gt;3453*105%,L33,3453*105%)*0.5%,2)</f>
        <v>38.79</v>
      </c>
      <c r="AF33" s="309">
        <f aca="true" t="shared" si="77" ref="AF33:AF38">SUM(AC33:AE33)</f>
        <v>814.4899999999999</v>
      </c>
      <c r="AG33" s="309">
        <f aca="true" t="shared" si="78" ref="AG33:AG38">AF33-AB33</f>
        <v>0</v>
      </c>
      <c r="AH33" s="319"/>
      <c r="AI33" s="322" t="s">
        <v>39</v>
      </c>
      <c r="AJ33" s="263">
        <f>SUBTOTAL(9,AJ11:AJ28)*3</f>
        <v>1915500</v>
      </c>
    </row>
    <row r="34" spans="1:35" ht="12.75">
      <c r="A34" s="269">
        <v>22</v>
      </c>
      <c r="B34" s="269" t="s">
        <v>55</v>
      </c>
      <c r="C34" s="269" t="s">
        <v>83</v>
      </c>
      <c r="D34" s="269" t="s">
        <v>84</v>
      </c>
      <c r="E34" s="277">
        <v>4600</v>
      </c>
      <c r="F34" s="277">
        <v>140</v>
      </c>
      <c r="G34" s="277"/>
      <c r="H34" s="277">
        <v>200</v>
      </c>
      <c r="I34" s="277">
        <v>264</v>
      </c>
      <c r="J34" s="277">
        <v>300</v>
      </c>
      <c r="K34" s="295">
        <f t="shared" si="64"/>
        <v>5504</v>
      </c>
      <c r="L34" s="277">
        <v>6919</v>
      </c>
      <c r="M34" s="296">
        <f t="shared" si="65"/>
        <v>1107.04</v>
      </c>
      <c r="N34" s="296">
        <f t="shared" si="66"/>
        <v>588.12</v>
      </c>
      <c r="O34" s="296">
        <f t="shared" si="67"/>
        <v>34.6</v>
      </c>
      <c r="P34" s="296">
        <f t="shared" si="68"/>
        <v>19.37</v>
      </c>
      <c r="Q34" s="296"/>
      <c r="R34" s="296">
        <f t="shared" si="69"/>
        <v>831</v>
      </c>
      <c r="S34" s="296">
        <f aca="true" t="shared" si="79" ref="S34:S39">((SUM(E34:I34)+U34)*12+J34*7+W34)*2%</f>
        <v>2296.96</v>
      </c>
      <c r="T34" s="296">
        <f aca="true" t="shared" si="80" ref="T34:T39">((SUM(E34:I34)+U34)*12+J34*7+W34)*1.5%</f>
        <v>1722.72</v>
      </c>
      <c r="U34" s="305">
        <v>1400</v>
      </c>
      <c r="V34" s="296">
        <f aca="true" t="shared" si="81" ref="V34:V39">SUM(K34:R34)-L34+U34</f>
        <v>9484.130000000003</v>
      </c>
      <c r="W34" s="305">
        <v>33500</v>
      </c>
      <c r="X34" s="296">
        <f aca="true" t="shared" si="82" ref="X34:X39">V34*12+W34+S34+T34-J34*5</f>
        <v>149829.24000000002</v>
      </c>
      <c r="Y34" s="309">
        <f t="shared" si="70"/>
        <v>553.52</v>
      </c>
      <c r="Z34" s="309">
        <f t="shared" si="71"/>
        <v>138.38</v>
      </c>
      <c r="AA34" s="309">
        <f t="shared" si="72"/>
        <v>34.6</v>
      </c>
      <c r="AB34" s="309">
        <f t="shared" si="73"/>
        <v>726.5</v>
      </c>
      <c r="AC34" s="309">
        <f t="shared" si="74"/>
        <v>553.52</v>
      </c>
      <c r="AD34" s="309">
        <f t="shared" si="75"/>
        <v>138.38</v>
      </c>
      <c r="AE34" s="309">
        <f t="shared" si="76"/>
        <v>34.6</v>
      </c>
      <c r="AF34" s="309">
        <f t="shared" si="77"/>
        <v>726.5</v>
      </c>
      <c r="AG34" s="309">
        <f t="shared" si="78"/>
        <v>0</v>
      </c>
      <c r="AH34" s="309"/>
      <c r="AI34" s="322" t="s">
        <v>39</v>
      </c>
    </row>
    <row r="35" spans="1:35" ht="12.75">
      <c r="A35" s="269">
        <v>23</v>
      </c>
      <c r="B35" s="269" t="s">
        <v>55</v>
      </c>
      <c r="C35" s="269" t="s">
        <v>85</v>
      </c>
      <c r="D35" s="269" t="s">
        <v>53</v>
      </c>
      <c r="E35" s="277">
        <v>3900</v>
      </c>
      <c r="F35" s="277">
        <v>90</v>
      </c>
      <c r="G35" s="277"/>
      <c r="H35" s="277">
        <v>150</v>
      </c>
      <c r="I35" s="277">
        <v>264</v>
      </c>
      <c r="J35" s="277">
        <v>300</v>
      </c>
      <c r="K35" s="295">
        <f t="shared" si="64"/>
        <v>4704</v>
      </c>
      <c r="L35" s="277">
        <v>5832</v>
      </c>
      <c r="M35" s="296">
        <f t="shared" si="65"/>
        <v>933.12</v>
      </c>
      <c r="N35" s="296">
        <f t="shared" si="66"/>
        <v>495.72</v>
      </c>
      <c r="O35" s="296">
        <f t="shared" si="67"/>
        <v>29.16</v>
      </c>
      <c r="P35" s="296">
        <f t="shared" si="68"/>
        <v>16.33</v>
      </c>
      <c r="Q35" s="296"/>
      <c r="R35" s="296">
        <f t="shared" si="69"/>
        <v>700</v>
      </c>
      <c r="S35" s="296">
        <f t="shared" si="79"/>
        <v>1980.96</v>
      </c>
      <c r="T35" s="296">
        <f t="shared" si="80"/>
        <v>1485.72</v>
      </c>
      <c r="U35" s="305">
        <v>1300</v>
      </c>
      <c r="V35" s="296">
        <f t="shared" si="81"/>
        <v>8178.33</v>
      </c>
      <c r="W35" s="305">
        <v>28500</v>
      </c>
      <c r="X35" s="296">
        <f t="shared" si="82"/>
        <v>128606.64</v>
      </c>
      <c r="Y35" s="309">
        <f t="shared" si="70"/>
        <v>466.56</v>
      </c>
      <c r="Z35" s="309">
        <f t="shared" si="71"/>
        <v>116.64</v>
      </c>
      <c r="AA35" s="309">
        <f t="shared" si="72"/>
        <v>29.16</v>
      </c>
      <c r="AB35" s="309">
        <f t="shared" si="73"/>
        <v>612.36</v>
      </c>
      <c r="AC35" s="309">
        <f t="shared" si="74"/>
        <v>466.56</v>
      </c>
      <c r="AD35" s="309">
        <f t="shared" si="75"/>
        <v>116.64</v>
      </c>
      <c r="AE35" s="309">
        <f t="shared" si="76"/>
        <v>29.16</v>
      </c>
      <c r="AF35" s="309">
        <f t="shared" si="77"/>
        <v>612.36</v>
      </c>
      <c r="AG35" s="309">
        <f t="shared" si="78"/>
        <v>0</v>
      </c>
      <c r="AH35" s="309"/>
      <c r="AI35" s="322" t="s">
        <v>54</v>
      </c>
    </row>
    <row r="36" spans="1:35" ht="14.25">
      <c r="A36" s="269">
        <v>24</v>
      </c>
      <c r="B36" s="269"/>
      <c r="C36" s="269" t="s">
        <v>86</v>
      </c>
      <c r="D36" s="269" t="s">
        <v>54</v>
      </c>
      <c r="E36" s="277">
        <v>3200</v>
      </c>
      <c r="F36" s="277">
        <v>60</v>
      </c>
      <c r="G36" s="277"/>
      <c r="H36" s="277">
        <v>100</v>
      </c>
      <c r="I36" s="277">
        <v>264</v>
      </c>
      <c r="J36" s="277">
        <v>300</v>
      </c>
      <c r="K36" s="295">
        <f t="shared" si="64"/>
        <v>3924</v>
      </c>
      <c r="L36" s="277">
        <v>4964</v>
      </c>
      <c r="M36" s="296">
        <f t="shared" si="65"/>
        <v>794.24</v>
      </c>
      <c r="N36" s="296">
        <f t="shared" si="66"/>
        <v>421.94</v>
      </c>
      <c r="O36" s="296">
        <f t="shared" si="67"/>
        <v>24.82</v>
      </c>
      <c r="P36" s="296">
        <f t="shared" si="68"/>
        <v>13.9</v>
      </c>
      <c r="Q36" s="296"/>
      <c r="R36" s="296">
        <f t="shared" si="69"/>
        <v>596</v>
      </c>
      <c r="S36" s="296">
        <f t="shared" si="79"/>
        <v>1649.76</v>
      </c>
      <c r="T36" s="296">
        <f t="shared" si="80"/>
        <v>1237.32</v>
      </c>
      <c r="U36" s="305">
        <v>1200</v>
      </c>
      <c r="V36" s="296">
        <f t="shared" si="81"/>
        <v>6974.9</v>
      </c>
      <c r="W36" s="305">
        <v>22500</v>
      </c>
      <c r="X36" s="296">
        <f t="shared" si="82"/>
        <v>107585.87999999999</v>
      </c>
      <c r="Y36" s="309">
        <f t="shared" si="70"/>
        <v>397.12</v>
      </c>
      <c r="Z36" s="309">
        <f t="shared" si="71"/>
        <v>99.28</v>
      </c>
      <c r="AA36" s="309">
        <f t="shared" si="72"/>
        <v>24.82</v>
      </c>
      <c r="AB36" s="309">
        <f t="shared" si="73"/>
        <v>521.22</v>
      </c>
      <c r="AC36" s="309">
        <f t="shared" si="74"/>
        <v>397.12</v>
      </c>
      <c r="AD36" s="309">
        <f t="shared" si="75"/>
        <v>99.28</v>
      </c>
      <c r="AE36" s="309">
        <f t="shared" si="76"/>
        <v>24.82</v>
      </c>
      <c r="AF36" s="309">
        <f t="shared" si="77"/>
        <v>521.22</v>
      </c>
      <c r="AG36" s="309">
        <f t="shared" si="78"/>
        <v>0</v>
      </c>
      <c r="AH36" s="319"/>
      <c r="AI36" s="322" t="s">
        <v>54</v>
      </c>
    </row>
    <row r="37" spans="1:35" ht="14.25">
      <c r="A37" s="269">
        <v>25</v>
      </c>
      <c r="B37" s="269"/>
      <c r="C37" s="269" t="s">
        <v>87</v>
      </c>
      <c r="D37" s="269" t="s">
        <v>54</v>
      </c>
      <c r="E37" s="277">
        <v>3200</v>
      </c>
      <c r="F37" s="277">
        <v>30</v>
      </c>
      <c r="G37" s="277"/>
      <c r="H37" s="277">
        <v>100</v>
      </c>
      <c r="I37" s="277">
        <v>264</v>
      </c>
      <c r="J37" s="277">
        <v>300</v>
      </c>
      <c r="K37" s="295">
        <f t="shared" si="64"/>
        <v>3894</v>
      </c>
      <c r="L37" s="277">
        <v>4934</v>
      </c>
      <c r="M37" s="296">
        <f t="shared" si="65"/>
        <v>789.44</v>
      </c>
      <c r="N37" s="296">
        <f t="shared" si="66"/>
        <v>419.39</v>
      </c>
      <c r="O37" s="296">
        <f t="shared" si="67"/>
        <v>24.67</v>
      </c>
      <c r="P37" s="296">
        <f t="shared" si="68"/>
        <v>13.82</v>
      </c>
      <c r="Q37" s="296"/>
      <c r="R37" s="296">
        <f t="shared" si="69"/>
        <v>593</v>
      </c>
      <c r="S37" s="296">
        <f t="shared" si="79"/>
        <v>1642.56</v>
      </c>
      <c r="T37" s="296">
        <f t="shared" si="80"/>
        <v>1231.9199999999998</v>
      </c>
      <c r="U37" s="305">
        <v>1200</v>
      </c>
      <c r="V37" s="296">
        <f t="shared" si="81"/>
        <v>6934.32</v>
      </c>
      <c r="W37" s="305">
        <v>22500</v>
      </c>
      <c r="X37" s="296">
        <f t="shared" si="82"/>
        <v>107086.31999999999</v>
      </c>
      <c r="Y37" s="309">
        <f t="shared" si="70"/>
        <v>394.72</v>
      </c>
      <c r="Z37" s="309">
        <f t="shared" si="71"/>
        <v>98.68</v>
      </c>
      <c r="AA37" s="309">
        <f t="shared" si="72"/>
        <v>24.67</v>
      </c>
      <c r="AB37" s="309">
        <f t="shared" si="73"/>
        <v>518.07</v>
      </c>
      <c r="AC37" s="309">
        <f t="shared" si="74"/>
        <v>394.72</v>
      </c>
      <c r="AD37" s="309">
        <f t="shared" si="75"/>
        <v>98.68</v>
      </c>
      <c r="AE37" s="309">
        <f t="shared" si="76"/>
        <v>24.67</v>
      </c>
      <c r="AF37" s="309">
        <f t="shared" si="77"/>
        <v>518.07</v>
      </c>
      <c r="AG37" s="309">
        <f t="shared" si="78"/>
        <v>0</v>
      </c>
      <c r="AH37" s="319"/>
      <c r="AI37" s="322" t="s">
        <v>54</v>
      </c>
    </row>
    <row r="38" spans="1:35" ht="12.75">
      <c r="A38" s="269">
        <v>26</v>
      </c>
      <c r="B38" s="287"/>
      <c r="C38" s="269" t="s">
        <v>88</v>
      </c>
      <c r="D38" s="269" t="s">
        <v>54</v>
      </c>
      <c r="E38" s="277">
        <v>3200</v>
      </c>
      <c r="F38" s="277">
        <v>20</v>
      </c>
      <c r="G38" s="277"/>
      <c r="H38" s="277">
        <v>100</v>
      </c>
      <c r="I38" s="277">
        <v>264</v>
      </c>
      <c r="J38" s="277">
        <v>300</v>
      </c>
      <c r="K38" s="295">
        <f t="shared" si="64"/>
        <v>3884</v>
      </c>
      <c r="L38" s="277">
        <v>4924</v>
      </c>
      <c r="M38" s="296">
        <f t="shared" si="65"/>
        <v>787.84</v>
      </c>
      <c r="N38" s="296">
        <f t="shared" si="66"/>
        <v>418.54</v>
      </c>
      <c r="O38" s="296">
        <f t="shared" si="67"/>
        <v>24.62</v>
      </c>
      <c r="P38" s="296">
        <f t="shared" si="68"/>
        <v>13.79</v>
      </c>
      <c r="Q38" s="296"/>
      <c r="R38" s="296">
        <f t="shared" si="69"/>
        <v>591</v>
      </c>
      <c r="S38" s="296">
        <f t="shared" si="79"/>
        <v>1640.16</v>
      </c>
      <c r="T38" s="296">
        <f t="shared" si="80"/>
        <v>1230.12</v>
      </c>
      <c r="U38" s="305">
        <v>1200</v>
      </c>
      <c r="V38" s="296">
        <f t="shared" si="81"/>
        <v>6919.790000000003</v>
      </c>
      <c r="W38" s="305">
        <v>22500</v>
      </c>
      <c r="X38" s="296">
        <f t="shared" si="82"/>
        <v>106907.76000000004</v>
      </c>
      <c r="Y38" s="309">
        <f t="shared" si="70"/>
        <v>393.92</v>
      </c>
      <c r="Z38" s="309">
        <f t="shared" si="71"/>
        <v>98.48</v>
      </c>
      <c r="AA38" s="309">
        <f t="shared" si="72"/>
        <v>24.62</v>
      </c>
      <c r="AB38" s="309">
        <f t="shared" si="73"/>
        <v>517.02</v>
      </c>
      <c r="AC38" s="309">
        <f t="shared" si="74"/>
        <v>393.92</v>
      </c>
      <c r="AD38" s="309">
        <f t="shared" si="75"/>
        <v>98.48</v>
      </c>
      <c r="AE38" s="309">
        <f t="shared" si="76"/>
        <v>24.62</v>
      </c>
      <c r="AF38" s="309">
        <f t="shared" si="77"/>
        <v>517.02</v>
      </c>
      <c r="AG38" s="309">
        <f t="shared" si="78"/>
        <v>0</v>
      </c>
      <c r="AH38" s="309" t="s">
        <v>89</v>
      </c>
      <c r="AI38" s="321" t="s">
        <v>54</v>
      </c>
    </row>
    <row r="39" spans="1:35" ht="12.75">
      <c r="A39" s="269">
        <v>27</v>
      </c>
      <c r="B39" s="289"/>
      <c r="C39" s="290" t="s">
        <v>90</v>
      </c>
      <c r="D39" s="269" t="s">
        <v>54</v>
      </c>
      <c r="E39" s="277">
        <v>3200</v>
      </c>
      <c r="F39" s="277"/>
      <c r="G39" s="277"/>
      <c r="H39" s="277">
        <v>100</v>
      </c>
      <c r="I39" s="277">
        <v>264</v>
      </c>
      <c r="J39" s="277">
        <v>300</v>
      </c>
      <c r="K39" s="295">
        <f t="shared" si="64"/>
        <v>3864</v>
      </c>
      <c r="L39" s="277">
        <v>3200</v>
      </c>
      <c r="M39" s="296">
        <f t="shared" si="65"/>
        <v>745.71</v>
      </c>
      <c r="N39" s="296">
        <f t="shared" si="66"/>
        <v>404.69</v>
      </c>
      <c r="O39" s="296">
        <f t="shared" si="67"/>
        <v>23.81</v>
      </c>
      <c r="P39" s="296">
        <f t="shared" si="68"/>
        <v>13.33</v>
      </c>
      <c r="Q39" s="296"/>
      <c r="R39" s="296">
        <f t="shared" si="69"/>
        <v>384</v>
      </c>
      <c r="S39" s="296">
        <f t="shared" si="79"/>
        <v>1635.3600000000001</v>
      </c>
      <c r="T39" s="296">
        <f t="shared" si="80"/>
        <v>1226.52</v>
      </c>
      <c r="U39" s="305">
        <v>1200</v>
      </c>
      <c r="V39" s="296">
        <f t="shared" si="81"/>
        <v>6635.539999999999</v>
      </c>
      <c r="W39" s="305">
        <v>22500</v>
      </c>
      <c r="X39" s="296">
        <f t="shared" si="82"/>
        <v>103488.35999999999</v>
      </c>
      <c r="Y39" s="316"/>
      <c r="Z39" s="316"/>
      <c r="AA39" s="316"/>
      <c r="AB39" s="316"/>
      <c r="AC39" s="316"/>
      <c r="AD39" s="316"/>
      <c r="AE39" s="316"/>
      <c r="AF39" s="316"/>
      <c r="AG39" s="316"/>
      <c r="AH39" s="316"/>
      <c r="AI39" s="326" t="s">
        <v>54</v>
      </c>
    </row>
    <row r="40" spans="1:36" ht="14.25">
      <c r="A40" s="284" t="s">
        <v>91</v>
      </c>
      <c r="B40" s="285"/>
      <c r="C40" s="285"/>
      <c r="D40" s="286"/>
      <c r="E40" s="281">
        <f aca="true" t="shared" si="83" ref="E40:K40">SUM(E33:E39)</f>
        <v>26600</v>
      </c>
      <c r="F40" s="281">
        <f t="shared" si="83"/>
        <v>480</v>
      </c>
      <c r="G40" s="281">
        <f t="shared" si="83"/>
        <v>200</v>
      </c>
      <c r="H40" s="281">
        <f t="shared" si="83"/>
        <v>1000</v>
      </c>
      <c r="I40" s="281">
        <f t="shared" si="83"/>
        <v>1848</v>
      </c>
      <c r="J40" s="281">
        <f t="shared" si="83"/>
        <v>2100</v>
      </c>
      <c r="K40" s="297">
        <f t="shared" si="83"/>
        <v>32228</v>
      </c>
      <c r="L40" s="281"/>
      <c r="M40" s="299">
        <f aca="true" t="shared" si="84" ref="M40:X40">SUM(M33:M39)</f>
        <v>6398.509999999999</v>
      </c>
      <c r="N40" s="299">
        <f t="shared" si="84"/>
        <v>3407.75</v>
      </c>
      <c r="O40" s="299">
        <f t="shared" si="84"/>
        <v>200.47000000000003</v>
      </c>
      <c r="P40" s="299">
        <f t="shared" si="84"/>
        <v>112.26</v>
      </c>
      <c r="Q40" s="299">
        <f t="shared" si="84"/>
        <v>0</v>
      </c>
      <c r="R40" s="299">
        <f t="shared" si="84"/>
        <v>4626</v>
      </c>
      <c r="S40" s="299">
        <f t="shared" si="84"/>
        <v>13474.72</v>
      </c>
      <c r="T40" s="299">
        <f t="shared" si="84"/>
        <v>10106.04</v>
      </c>
      <c r="U40" s="299">
        <f t="shared" si="84"/>
        <v>9000</v>
      </c>
      <c r="V40" s="299">
        <f t="shared" si="84"/>
        <v>55972.990000000005</v>
      </c>
      <c r="W40" s="299">
        <f t="shared" si="84"/>
        <v>189500</v>
      </c>
      <c r="X40" s="299">
        <f t="shared" si="84"/>
        <v>874256.64</v>
      </c>
      <c r="Y40" s="315" t="e">
        <f>(#REF!+U40)*12+W40</f>
        <v>#REF!</v>
      </c>
      <c r="Z40" s="315"/>
      <c r="AA40" s="315"/>
      <c r="AB40" s="315"/>
      <c r="AC40" s="315"/>
      <c r="AD40" s="315"/>
      <c r="AE40" s="315"/>
      <c r="AF40" s="315"/>
      <c r="AG40" s="315"/>
      <c r="AH40" s="324"/>
      <c r="AI40" s="325"/>
      <c r="AJ40" s="263">
        <f>SUM(U33:U37)*12+U38*9+W40</f>
        <v>279500</v>
      </c>
    </row>
    <row r="41" spans="1:35" ht="12.75">
      <c r="A41" s="269">
        <v>28</v>
      </c>
      <c r="B41" s="269" t="s">
        <v>92</v>
      </c>
      <c r="C41" s="269" t="s">
        <v>93</v>
      </c>
      <c r="D41" s="269" t="s">
        <v>94</v>
      </c>
      <c r="E41" s="277">
        <v>6000</v>
      </c>
      <c r="F41" s="277">
        <v>340</v>
      </c>
      <c r="G41" s="277"/>
      <c r="H41" s="277">
        <v>300</v>
      </c>
      <c r="I41" s="277">
        <v>264</v>
      </c>
      <c r="J41" s="277">
        <v>300</v>
      </c>
      <c r="K41" s="295">
        <f aca="true" t="shared" si="85" ref="K41:K56">SUM(E41:J41)</f>
        <v>7204</v>
      </c>
      <c r="L41" s="277">
        <v>8594</v>
      </c>
      <c r="M41" s="296">
        <f aca="true" t="shared" si="86" ref="M41:M56">ROUND(IF(L41&gt;4660.7,L41,4660.7)*16%,2)</f>
        <v>1375.04</v>
      </c>
      <c r="N41" s="296">
        <f aca="true" t="shared" si="87" ref="N41:N56">ROUND(IF(L41&gt;4761.1,L41,4761.1)*8.5%,2)</f>
        <v>730.49</v>
      </c>
      <c r="O41" s="296">
        <f aca="true" t="shared" si="88" ref="O41:O56">ROUND(IF(L41&gt;4761.1,L41,4761.1)*0.5%,2)</f>
        <v>42.97</v>
      </c>
      <c r="P41" s="296">
        <f aca="true" t="shared" si="89" ref="P41:P56">ROUND(IF(L41&gt;4761.1,L41,4761.1)*0.28%,2)</f>
        <v>24.06</v>
      </c>
      <c r="Q41" s="296"/>
      <c r="R41" s="296">
        <f aca="true" t="shared" si="90" ref="R41:R56">CEILING(L41*12%,1)</f>
        <v>1032</v>
      </c>
      <c r="S41" s="296">
        <f>((SUM(E41:I41)+U41)*12+J41*7+W41)*2%</f>
        <v>2892.96</v>
      </c>
      <c r="T41" s="296">
        <f>((SUM(E41:I41)+U41)*12+J41*7+W41)*1.5%</f>
        <v>2169.72</v>
      </c>
      <c r="U41" s="305">
        <v>1600</v>
      </c>
      <c r="V41" s="296">
        <f>SUM(K41:R41)-L41+U41</f>
        <v>12008.560000000005</v>
      </c>
      <c r="W41" s="305">
        <v>40500</v>
      </c>
      <c r="X41" s="296">
        <f>V41*12+W41+S41+T41-J41*5</f>
        <v>188165.40000000005</v>
      </c>
      <c r="Y41" s="309">
        <f aca="true" t="shared" si="91" ref="Y41:Y53">ROUND(L41*8%,2)</f>
        <v>687.52</v>
      </c>
      <c r="Z41" s="309">
        <f aca="true" t="shared" si="92" ref="Z41:Z53">ROUND(L41*2%,2)</f>
        <v>171.88</v>
      </c>
      <c r="AA41" s="309">
        <f aca="true" t="shared" si="93" ref="AA41:AA53">ROUND(L41*0.5%,2)</f>
        <v>42.97</v>
      </c>
      <c r="AB41" s="309">
        <f aca="true" t="shared" si="94" ref="AB41:AB53">SUM(Y41:AA41)</f>
        <v>902.37</v>
      </c>
      <c r="AC41" s="309">
        <f aca="true" t="shared" si="95" ref="AC41:AC53">ROUND(IF(L41&gt;3453*105%,L41,3453*105%)*8%,2)</f>
        <v>687.52</v>
      </c>
      <c r="AD41" s="309">
        <f aca="true" t="shared" si="96" ref="AD41:AD53">ROUND(IF(L41&gt;3453*105%,L41,3453*105%)*2%,2)</f>
        <v>171.88</v>
      </c>
      <c r="AE41" s="309">
        <f aca="true" t="shared" si="97" ref="AE41:AE53">ROUND(IF(L41&gt;3453*105%,L41,3453*105%)*0.5%,2)</f>
        <v>42.97</v>
      </c>
      <c r="AF41" s="309">
        <f aca="true" t="shared" si="98" ref="AF41:AF53">SUM(AC41:AE41)</f>
        <v>902.37</v>
      </c>
      <c r="AG41" s="309">
        <f aca="true" t="shared" si="99" ref="AG41:AG53">AF41-AB41</f>
        <v>0</v>
      </c>
      <c r="AH41" s="309"/>
      <c r="AI41" s="322" t="s">
        <v>39</v>
      </c>
    </row>
    <row r="42" spans="1:35" ht="12.75">
      <c r="A42" s="269">
        <v>29</v>
      </c>
      <c r="B42" s="269" t="s">
        <v>49</v>
      </c>
      <c r="C42" s="269" t="s">
        <v>95</v>
      </c>
      <c r="D42" s="269" t="s">
        <v>51</v>
      </c>
      <c r="E42" s="277">
        <v>5300</v>
      </c>
      <c r="F42" s="277">
        <v>340</v>
      </c>
      <c r="G42" s="277"/>
      <c r="H42" s="277">
        <v>250</v>
      </c>
      <c r="I42" s="277">
        <v>264</v>
      </c>
      <c r="J42" s="277">
        <v>300</v>
      </c>
      <c r="K42" s="295">
        <f t="shared" si="85"/>
        <v>6454</v>
      </c>
      <c r="L42" s="277">
        <v>7757</v>
      </c>
      <c r="M42" s="296">
        <f t="shared" si="86"/>
        <v>1241.12</v>
      </c>
      <c r="N42" s="296">
        <f t="shared" si="87"/>
        <v>659.35</v>
      </c>
      <c r="O42" s="296">
        <f t="shared" si="88"/>
        <v>38.79</v>
      </c>
      <c r="P42" s="296">
        <f t="shared" si="89"/>
        <v>21.72</v>
      </c>
      <c r="Q42" s="296"/>
      <c r="R42" s="296">
        <f t="shared" si="90"/>
        <v>931</v>
      </c>
      <c r="S42" s="296">
        <f aca="true" t="shared" si="100" ref="S42:S53">((SUM(E42:I42)+U42)*12+J42*7+W42)*2%</f>
        <v>2628.96</v>
      </c>
      <c r="T42" s="296">
        <f aca="true" t="shared" si="101" ref="T42:T53">((SUM(E42:I42)+U42)*12+J42*7+W42)*1.5%</f>
        <v>1971.72</v>
      </c>
      <c r="U42" s="305">
        <v>1500</v>
      </c>
      <c r="V42" s="296">
        <f aca="true" t="shared" si="102" ref="V42:V53">SUM(K42:R42)-L42+U42</f>
        <v>10845.98</v>
      </c>
      <c r="W42" s="305">
        <v>37500</v>
      </c>
      <c r="X42" s="296">
        <f aca="true" t="shared" si="103" ref="X42:X53">V42*12+W42+S42+T42-J42*5</f>
        <v>170752.44</v>
      </c>
      <c r="Y42" s="309">
        <f t="shared" si="91"/>
        <v>620.56</v>
      </c>
      <c r="Z42" s="309">
        <f t="shared" si="92"/>
        <v>155.14</v>
      </c>
      <c r="AA42" s="309">
        <f t="shared" si="93"/>
        <v>38.79</v>
      </c>
      <c r="AB42" s="309">
        <f t="shared" si="94"/>
        <v>814.4899999999999</v>
      </c>
      <c r="AC42" s="309">
        <f t="shared" si="95"/>
        <v>620.56</v>
      </c>
      <c r="AD42" s="309">
        <f t="shared" si="96"/>
        <v>155.14</v>
      </c>
      <c r="AE42" s="309">
        <f t="shared" si="97"/>
        <v>38.79</v>
      </c>
      <c r="AF42" s="309">
        <f t="shared" si="98"/>
        <v>814.4899999999999</v>
      </c>
      <c r="AG42" s="309">
        <f t="shared" si="99"/>
        <v>0</v>
      </c>
      <c r="AH42" s="309"/>
      <c r="AI42" s="322" t="s">
        <v>39</v>
      </c>
    </row>
    <row r="43" spans="1:35" ht="12.75">
      <c r="A43" s="269">
        <v>30</v>
      </c>
      <c r="B43" s="269" t="s">
        <v>49</v>
      </c>
      <c r="C43" s="269" t="s">
        <v>96</v>
      </c>
      <c r="D43" s="269" t="s">
        <v>84</v>
      </c>
      <c r="E43" s="277">
        <v>4600</v>
      </c>
      <c r="F43" s="277">
        <v>260</v>
      </c>
      <c r="G43" s="277"/>
      <c r="H43" s="277">
        <v>200</v>
      </c>
      <c r="I43" s="277">
        <v>264</v>
      </c>
      <c r="J43" s="277">
        <v>300</v>
      </c>
      <c r="K43" s="296">
        <f t="shared" si="85"/>
        <v>5624</v>
      </c>
      <c r="L43" s="277">
        <v>6839</v>
      </c>
      <c r="M43" s="296">
        <f t="shared" si="86"/>
        <v>1094.24</v>
      </c>
      <c r="N43" s="296">
        <f t="shared" si="87"/>
        <v>581.32</v>
      </c>
      <c r="O43" s="296">
        <f t="shared" si="88"/>
        <v>34.2</v>
      </c>
      <c r="P43" s="296">
        <f t="shared" si="89"/>
        <v>19.15</v>
      </c>
      <c r="Q43" s="296"/>
      <c r="R43" s="296">
        <f t="shared" si="90"/>
        <v>821</v>
      </c>
      <c r="S43" s="296">
        <f t="shared" si="100"/>
        <v>2325.76</v>
      </c>
      <c r="T43" s="296">
        <f t="shared" si="101"/>
        <v>1744.32</v>
      </c>
      <c r="U43" s="305">
        <v>1400</v>
      </c>
      <c r="V43" s="296">
        <f t="shared" si="102"/>
        <v>9573.91</v>
      </c>
      <c r="W43" s="305">
        <v>33500</v>
      </c>
      <c r="X43" s="296">
        <f t="shared" si="103"/>
        <v>150957</v>
      </c>
      <c r="Y43" s="309">
        <f t="shared" si="91"/>
        <v>547.12</v>
      </c>
      <c r="Z43" s="309">
        <f t="shared" si="92"/>
        <v>136.78</v>
      </c>
      <c r="AA43" s="309">
        <f t="shared" si="93"/>
        <v>34.2</v>
      </c>
      <c r="AB43" s="309">
        <f t="shared" si="94"/>
        <v>718.1</v>
      </c>
      <c r="AC43" s="309">
        <f t="shared" si="95"/>
        <v>547.12</v>
      </c>
      <c r="AD43" s="309">
        <f t="shared" si="96"/>
        <v>136.78</v>
      </c>
      <c r="AE43" s="309">
        <f t="shared" si="97"/>
        <v>34.2</v>
      </c>
      <c r="AF43" s="309">
        <f t="shared" si="98"/>
        <v>718.1</v>
      </c>
      <c r="AG43" s="309">
        <f t="shared" si="99"/>
        <v>0</v>
      </c>
      <c r="AH43" s="309"/>
      <c r="AI43" s="322" t="s">
        <v>39</v>
      </c>
    </row>
    <row r="44" spans="1:35" ht="14.25">
      <c r="A44" s="269">
        <v>31</v>
      </c>
      <c r="B44" s="269" t="s">
        <v>97</v>
      </c>
      <c r="C44" s="269" t="s">
        <v>98</v>
      </c>
      <c r="D44" s="269" t="s">
        <v>53</v>
      </c>
      <c r="E44" s="277">
        <v>3900</v>
      </c>
      <c r="F44" s="277">
        <v>120</v>
      </c>
      <c r="G44" s="277"/>
      <c r="H44" s="277">
        <v>150</v>
      </c>
      <c r="I44" s="277">
        <v>264</v>
      </c>
      <c r="J44" s="277">
        <v>300</v>
      </c>
      <c r="K44" s="296">
        <f t="shared" si="85"/>
        <v>4734</v>
      </c>
      <c r="L44" s="277">
        <v>5862</v>
      </c>
      <c r="M44" s="296">
        <f t="shared" si="86"/>
        <v>937.92</v>
      </c>
      <c r="N44" s="296">
        <f t="shared" si="87"/>
        <v>498.27</v>
      </c>
      <c r="O44" s="296">
        <f t="shared" si="88"/>
        <v>29.31</v>
      </c>
      <c r="P44" s="296">
        <f t="shared" si="89"/>
        <v>16.41</v>
      </c>
      <c r="Q44" s="296"/>
      <c r="R44" s="296">
        <f t="shared" si="90"/>
        <v>704</v>
      </c>
      <c r="S44" s="296">
        <f t="shared" si="100"/>
        <v>1988.16</v>
      </c>
      <c r="T44" s="296">
        <f t="shared" si="101"/>
        <v>1491.12</v>
      </c>
      <c r="U44" s="305">
        <v>1300</v>
      </c>
      <c r="V44" s="296">
        <f t="shared" si="102"/>
        <v>8219.91</v>
      </c>
      <c r="W44" s="305">
        <v>28500</v>
      </c>
      <c r="X44" s="296">
        <f t="shared" si="103"/>
        <v>129118.2</v>
      </c>
      <c r="Y44" s="309">
        <f t="shared" si="91"/>
        <v>468.96</v>
      </c>
      <c r="Z44" s="309">
        <f t="shared" si="92"/>
        <v>117.24</v>
      </c>
      <c r="AA44" s="309">
        <f t="shared" si="93"/>
        <v>29.31</v>
      </c>
      <c r="AB44" s="309">
        <f t="shared" si="94"/>
        <v>615.5099999999999</v>
      </c>
      <c r="AC44" s="309">
        <f t="shared" si="95"/>
        <v>468.96</v>
      </c>
      <c r="AD44" s="309">
        <f t="shared" si="96"/>
        <v>117.24</v>
      </c>
      <c r="AE44" s="309">
        <f t="shared" si="97"/>
        <v>29.31</v>
      </c>
      <c r="AF44" s="309">
        <f t="shared" si="98"/>
        <v>615.5099999999999</v>
      </c>
      <c r="AG44" s="309">
        <f t="shared" si="99"/>
        <v>0</v>
      </c>
      <c r="AH44" s="319"/>
      <c r="AI44" s="322" t="s">
        <v>54</v>
      </c>
    </row>
    <row r="45" spans="1:35" ht="12.75">
      <c r="A45" s="269">
        <v>32</v>
      </c>
      <c r="B45" s="269" t="s">
        <v>49</v>
      </c>
      <c r="C45" s="269" t="s">
        <v>99</v>
      </c>
      <c r="D45" s="269" t="s">
        <v>53</v>
      </c>
      <c r="E45" s="277">
        <v>3200</v>
      </c>
      <c r="F45" s="277">
        <v>190</v>
      </c>
      <c r="G45" s="277"/>
      <c r="H45" s="277">
        <v>150</v>
      </c>
      <c r="I45" s="277">
        <v>264</v>
      </c>
      <c r="J45" s="277">
        <v>300</v>
      </c>
      <c r="K45" s="296">
        <f t="shared" si="85"/>
        <v>4104</v>
      </c>
      <c r="L45" s="277">
        <v>6152</v>
      </c>
      <c r="M45" s="296">
        <f t="shared" si="86"/>
        <v>984.32</v>
      </c>
      <c r="N45" s="296">
        <f t="shared" si="87"/>
        <v>522.92</v>
      </c>
      <c r="O45" s="296">
        <f t="shared" si="88"/>
        <v>30.76</v>
      </c>
      <c r="P45" s="296">
        <f t="shared" si="89"/>
        <v>17.23</v>
      </c>
      <c r="Q45" s="296"/>
      <c r="R45" s="296">
        <f t="shared" si="90"/>
        <v>739</v>
      </c>
      <c r="S45" s="296">
        <f t="shared" si="100"/>
        <v>1836.96</v>
      </c>
      <c r="T45" s="296">
        <f t="shared" si="101"/>
        <v>1377.72</v>
      </c>
      <c r="U45" s="305">
        <v>1300</v>
      </c>
      <c r="V45" s="296">
        <f t="shared" si="102"/>
        <v>7698.23</v>
      </c>
      <c r="W45" s="305">
        <v>28500</v>
      </c>
      <c r="X45" s="296">
        <f t="shared" si="103"/>
        <v>122593.44</v>
      </c>
      <c r="Y45" s="309">
        <f t="shared" si="91"/>
        <v>492.16</v>
      </c>
      <c r="Z45" s="309">
        <f t="shared" si="92"/>
        <v>123.04</v>
      </c>
      <c r="AA45" s="309">
        <f t="shared" si="93"/>
        <v>30.76</v>
      </c>
      <c r="AB45" s="309">
        <f t="shared" si="94"/>
        <v>645.96</v>
      </c>
      <c r="AC45" s="309">
        <f t="shared" si="95"/>
        <v>492.16</v>
      </c>
      <c r="AD45" s="309">
        <f t="shared" si="96"/>
        <v>123.04</v>
      </c>
      <c r="AE45" s="309">
        <f t="shared" si="97"/>
        <v>30.76</v>
      </c>
      <c r="AF45" s="309">
        <f t="shared" si="98"/>
        <v>645.96</v>
      </c>
      <c r="AG45" s="309">
        <f t="shared" si="99"/>
        <v>0</v>
      </c>
      <c r="AH45" s="317"/>
      <c r="AI45" s="322" t="s">
        <v>54</v>
      </c>
    </row>
    <row r="46" spans="1:35" ht="12.75">
      <c r="A46" s="269">
        <v>33</v>
      </c>
      <c r="B46" s="269" t="s">
        <v>46</v>
      </c>
      <c r="C46" s="269" t="s">
        <v>100</v>
      </c>
      <c r="D46" s="269" t="s">
        <v>53</v>
      </c>
      <c r="E46" s="277">
        <v>3900</v>
      </c>
      <c r="F46" s="277">
        <v>80</v>
      </c>
      <c r="G46" s="277"/>
      <c r="H46" s="277">
        <v>150</v>
      </c>
      <c r="I46" s="277">
        <v>264</v>
      </c>
      <c r="J46" s="277">
        <v>300</v>
      </c>
      <c r="K46" s="296">
        <f t="shared" si="85"/>
        <v>4694</v>
      </c>
      <c r="L46" s="277">
        <v>5822</v>
      </c>
      <c r="M46" s="296">
        <f t="shared" si="86"/>
        <v>931.52</v>
      </c>
      <c r="N46" s="296">
        <f t="shared" si="87"/>
        <v>494.87</v>
      </c>
      <c r="O46" s="296">
        <f t="shared" si="88"/>
        <v>29.11</v>
      </c>
      <c r="P46" s="296">
        <f t="shared" si="89"/>
        <v>16.3</v>
      </c>
      <c r="Q46" s="296"/>
      <c r="R46" s="296">
        <f t="shared" si="90"/>
        <v>699</v>
      </c>
      <c r="S46" s="296">
        <f t="shared" si="100"/>
        <v>1978.56</v>
      </c>
      <c r="T46" s="296">
        <f t="shared" si="101"/>
        <v>1483.9199999999998</v>
      </c>
      <c r="U46" s="305">
        <v>1300</v>
      </c>
      <c r="V46" s="296">
        <f t="shared" si="102"/>
        <v>8164.800000000001</v>
      </c>
      <c r="W46" s="305">
        <v>28500</v>
      </c>
      <c r="X46" s="296">
        <f t="shared" si="103"/>
        <v>128440.08</v>
      </c>
      <c r="Y46" s="309">
        <f t="shared" si="91"/>
        <v>465.76</v>
      </c>
      <c r="Z46" s="309">
        <f t="shared" si="92"/>
        <v>116.44</v>
      </c>
      <c r="AA46" s="309">
        <f t="shared" si="93"/>
        <v>29.11</v>
      </c>
      <c r="AB46" s="309">
        <f t="shared" si="94"/>
        <v>611.3100000000001</v>
      </c>
      <c r="AC46" s="309">
        <f t="shared" si="95"/>
        <v>465.76</v>
      </c>
      <c r="AD46" s="309">
        <f t="shared" si="96"/>
        <v>116.44</v>
      </c>
      <c r="AE46" s="309">
        <f t="shared" si="97"/>
        <v>29.11</v>
      </c>
      <c r="AF46" s="309">
        <f t="shared" si="98"/>
        <v>611.3100000000001</v>
      </c>
      <c r="AG46" s="309">
        <f t="shared" si="99"/>
        <v>0</v>
      </c>
      <c r="AH46" s="309"/>
      <c r="AI46" s="322" t="s">
        <v>54</v>
      </c>
    </row>
    <row r="47" spans="1:35" ht="12.75">
      <c r="A47" s="269">
        <v>34</v>
      </c>
      <c r="B47" s="269" t="s">
        <v>49</v>
      </c>
      <c r="C47" s="269" t="s">
        <v>101</v>
      </c>
      <c r="D47" s="269" t="s">
        <v>54</v>
      </c>
      <c r="E47" s="277">
        <v>5300</v>
      </c>
      <c r="F47" s="277">
        <v>360</v>
      </c>
      <c r="G47" s="277"/>
      <c r="H47" s="277">
        <v>100</v>
      </c>
      <c r="I47" s="277">
        <v>264</v>
      </c>
      <c r="J47" s="277">
        <v>300</v>
      </c>
      <c r="K47" s="296">
        <f t="shared" si="85"/>
        <v>6324</v>
      </c>
      <c r="L47" s="277">
        <v>7364</v>
      </c>
      <c r="M47" s="296">
        <f t="shared" si="86"/>
        <v>1178.24</v>
      </c>
      <c r="N47" s="296">
        <f t="shared" si="87"/>
        <v>625.94</v>
      </c>
      <c r="O47" s="296">
        <f t="shared" si="88"/>
        <v>36.82</v>
      </c>
      <c r="P47" s="296">
        <f t="shared" si="89"/>
        <v>20.62</v>
      </c>
      <c r="Q47" s="296"/>
      <c r="R47" s="296">
        <f t="shared" si="90"/>
        <v>884</v>
      </c>
      <c r="S47" s="296">
        <f t="shared" si="100"/>
        <v>2225.76</v>
      </c>
      <c r="T47" s="296">
        <f t="shared" si="101"/>
        <v>1669.32</v>
      </c>
      <c r="U47" s="305">
        <v>1200</v>
      </c>
      <c r="V47" s="296">
        <f t="shared" si="102"/>
        <v>10269.620000000003</v>
      </c>
      <c r="W47" s="305">
        <v>22500</v>
      </c>
      <c r="X47" s="296">
        <f t="shared" si="103"/>
        <v>148130.52000000005</v>
      </c>
      <c r="Y47" s="309">
        <f t="shared" si="91"/>
        <v>589.12</v>
      </c>
      <c r="Z47" s="309">
        <f t="shared" si="92"/>
        <v>147.28</v>
      </c>
      <c r="AA47" s="309">
        <f t="shared" si="93"/>
        <v>36.82</v>
      </c>
      <c r="AB47" s="309">
        <f t="shared" si="94"/>
        <v>773.22</v>
      </c>
      <c r="AC47" s="309">
        <f t="shared" si="95"/>
        <v>589.12</v>
      </c>
      <c r="AD47" s="309">
        <f t="shared" si="96"/>
        <v>147.28</v>
      </c>
      <c r="AE47" s="309">
        <f t="shared" si="97"/>
        <v>36.82</v>
      </c>
      <c r="AF47" s="309">
        <f t="shared" si="98"/>
        <v>773.22</v>
      </c>
      <c r="AG47" s="309">
        <f t="shared" si="99"/>
        <v>0</v>
      </c>
      <c r="AH47" s="309"/>
      <c r="AI47" s="322" t="s">
        <v>54</v>
      </c>
    </row>
    <row r="48" spans="1:35" ht="12.75">
      <c r="A48" s="269">
        <v>35</v>
      </c>
      <c r="B48" s="269" t="s">
        <v>49</v>
      </c>
      <c r="C48" s="269" t="s">
        <v>102</v>
      </c>
      <c r="D48" s="269" t="s">
        <v>54</v>
      </c>
      <c r="E48" s="277">
        <v>3200</v>
      </c>
      <c r="F48" s="277">
        <v>190</v>
      </c>
      <c r="G48" s="277"/>
      <c r="H48" s="277">
        <v>100</v>
      </c>
      <c r="I48" s="277">
        <v>264</v>
      </c>
      <c r="J48" s="277">
        <v>300</v>
      </c>
      <c r="K48" s="296">
        <f t="shared" si="85"/>
        <v>4054</v>
      </c>
      <c r="L48" s="277">
        <v>5794</v>
      </c>
      <c r="M48" s="296">
        <f t="shared" si="86"/>
        <v>927.04</v>
      </c>
      <c r="N48" s="296">
        <f t="shared" si="87"/>
        <v>492.49</v>
      </c>
      <c r="O48" s="296">
        <f t="shared" si="88"/>
        <v>28.97</v>
      </c>
      <c r="P48" s="296">
        <f t="shared" si="89"/>
        <v>16.22</v>
      </c>
      <c r="Q48" s="296"/>
      <c r="R48" s="296">
        <f t="shared" si="90"/>
        <v>696</v>
      </c>
      <c r="S48" s="296">
        <f t="shared" si="100"/>
        <v>1680.96</v>
      </c>
      <c r="T48" s="296">
        <f t="shared" si="101"/>
        <v>1260.72</v>
      </c>
      <c r="U48" s="305">
        <v>1200</v>
      </c>
      <c r="V48" s="296">
        <f t="shared" si="102"/>
        <v>7414.719999999999</v>
      </c>
      <c r="W48" s="305">
        <v>22500</v>
      </c>
      <c r="X48" s="296">
        <f t="shared" si="103"/>
        <v>112918.31999999999</v>
      </c>
      <c r="Y48" s="309">
        <f t="shared" si="91"/>
        <v>463.52</v>
      </c>
      <c r="Z48" s="309">
        <f t="shared" si="92"/>
        <v>115.88</v>
      </c>
      <c r="AA48" s="309">
        <f t="shared" si="93"/>
        <v>28.97</v>
      </c>
      <c r="AB48" s="309">
        <f t="shared" si="94"/>
        <v>608.37</v>
      </c>
      <c r="AC48" s="309">
        <f t="shared" si="95"/>
        <v>463.52</v>
      </c>
      <c r="AD48" s="309">
        <f t="shared" si="96"/>
        <v>115.88</v>
      </c>
      <c r="AE48" s="309">
        <f t="shared" si="97"/>
        <v>28.97</v>
      </c>
      <c r="AF48" s="309">
        <f t="shared" si="98"/>
        <v>608.37</v>
      </c>
      <c r="AG48" s="309">
        <f t="shared" si="99"/>
        <v>0</v>
      </c>
      <c r="AH48" s="317"/>
      <c r="AI48" s="322" t="s">
        <v>54</v>
      </c>
    </row>
    <row r="49" spans="1:35" ht="12.75">
      <c r="A49" s="269">
        <v>36</v>
      </c>
      <c r="B49" s="269" t="s">
        <v>49</v>
      </c>
      <c r="C49" s="269" t="s">
        <v>103</v>
      </c>
      <c r="D49" s="269" t="s">
        <v>54</v>
      </c>
      <c r="E49" s="277">
        <v>3200</v>
      </c>
      <c r="F49" s="277">
        <v>50</v>
      </c>
      <c r="G49" s="277"/>
      <c r="H49" s="277">
        <v>100</v>
      </c>
      <c r="I49" s="277">
        <v>264</v>
      </c>
      <c r="J49" s="277">
        <v>300</v>
      </c>
      <c r="K49" s="296">
        <f t="shared" si="85"/>
        <v>3914</v>
      </c>
      <c r="L49" s="277">
        <v>4954</v>
      </c>
      <c r="M49" s="296">
        <f t="shared" si="86"/>
        <v>792.64</v>
      </c>
      <c r="N49" s="296">
        <f t="shared" si="87"/>
        <v>421.09</v>
      </c>
      <c r="O49" s="296">
        <f t="shared" si="88"/>
        <v>24.77</v>
      </c>
      <c r="P49" s="296">
        <f t="shared" si="89"/>
        <v>13.87</v>
      </c>
      <c r="Q49" s="296"/>
      <c r="R49" s="296">
        <f t="shared" si="90"/>
        <v>595</v>
      </c>
      <c r="S49" s="296">
        <f t="shared" si="100"/>
        <v>1647.3600000000001</v>
      </c>
      <c r="T49" s="296">
        <f t="shared" si="101"/>
        <v>1235.52</v>
      </c>
      <c r="U49" s="305">
        <v>1200</v>
      </c>
      <c r="V49" s="296">
        <f t="shared" si="102"/>
        <v>6961.370000000001</v>
      </c>
      <c r="W49" s="305">
        <v>22500</v>
      </c>
      <c r="X49" s="296">
        <f t="shared" si="103"/>
        <v>107419.32</v>
      </c>
      <c r="Y49" s="309">
        <f t="shared" si="91"/>
        <v>396.32</v>
      </c>
      <c r="Z49" s="309">
        <f t="shared" si="92"/>
        <v>99.08</v>
      </c>
      <c r="AA49" s="309">
        <f t="shared" si="93"/>
        <v>24.77</v>
      </c>
      <c r="AB49" s="309">
        <f t="shared" si="94"/>
        <v>520.17</v>
      </c>
      <c r="AC49" s="309">
        <f t="shared" si="95"/>
        <v>396.32</v>
      </c>
      <c r="AD49" s="309">
        <f t="shared" si="96"/>
        <v>99.08</v>
      </c>
      <c r="AE49" s="309">
        <f t="shared" si="97"/>
        <v>24.77</v>
      </c>
      <c r="AF49" s="309">
        <f t="shared" si="98"/>
        <v>520.17</v>
      </c>
      <c r="AG49" s="309">
        <f t="shared" si="99"/>
        <v>0</v>
      </c>
      <c r="AH49" s="309"/>
      <c r="AI49" s="322" t="s">
        <v>54</v>
      </c>
    </row>
    <row r="50" spans="1:35" ht="12.75">
      <c r="A50" s="269">
        <v>37</v>
      </c>
      <c r="B50" s="269" t="s">
        <v>49</v>
      </c>
      <c r="C50" s="269" t="s">
        <v>104</v>
      </c>
      <c r="D50" s="269" t="s">
        <v>54</v>
      </c>
      <c r="E50" s="277">
        <v>3200</v>
      </c>
      <c r="F50" s="277">
        <v>410</v>
      </c>
      <c r="G50" s="277"/>
      <c r="H50" s="277">
        <v>100</v>
      </c>
      <c r="I50" s="277">
        <v>264</v>
      </c>
      <c r="J50" s="277">
        <v>300</v>
      </c>
      <c r="K50" s="296">
        <f t="shared" si="85"/>
        <v>4274</v>
      </c>
      <c r="L50" s="277">
        <v>5314</v>
      </c>
      <c r="M50" s="296">
        <f t="shared" si="86"/>
        <v>850.24</v>
      </c>
      <c r="N50" s="296">
        <f t="shared" si="87"/>
        <v>451.69</v>
      </c>
      <c r="O50" s="296">
        <f t="shared" si="88"/>
        <v>26.57</v>
      </c>
      <c r="P50" s="296">
        <f t="shared" si="89"/>
        <v>14.88</v>
      </c>
      <c r="Q50" s="296"/>
      <c r="R50" s="296">
        <f t="shared" si="90"/>
        <v>638</v>
      </c>
      <c r="S50" s="296">
        <f t="shared" si="100"/>
        <v>1733.76</v>
      </c>
      <c r="T50" s="296">
        <f t="shared" si="101"/>
        <v>1300.32</v>
      </c>
      <c r="U50" s="305">
        <v>1200</v>
      </c>
      <c r="V50" s="296">
        <f t="shared" si="102"/>
        <v>7455.379999999999</v>
      </c>
      <c r="W50" s="305">
        <v>22500</v>
      </c>
      <c r="X50" s="296">
        <f t="shared" si="103"/>
        <v>113498.64</v>
      </c>
      <c r="Y50" s="309">
        <f t="shared" si="91"/>
        <v>425.12</v>
      </c>
      <c r="Z50" s="309">
        <f t="shared" si="92"/>
        <v>106.28</v>
      </c>
      <c r="AA50" s="309">
        <f t="shared" si="93"/>
        <v>26.57</v>
      </c>
      <c r="AB50" s="309">
        <f t="shared" si="94"/>
        <v>557.97</v>
      </c>
      <c r="AC50" s="309">
        <f t="shared" si="95"/>
        <v>425.12</v>
      </c>
      <c r="AD50" s="309">
        <f t="shared" si="96"/>
        <v>106.28</v>
      </c>
      <c r="AE50" s="309">
        <f t="shared" si="97"/>
        <v>26.57</v>
      </c>
      <c r="AF50" s="309">
        <f t="shared" si="98"/>
        <v>557.97</v>
      </c>
      <c r="AG50" s="309">
        <f t="shared" si="99"/>
        <v>0</v>
      </c>
      <c r="AH50" s="317"/>
      <c r="AI50" s="322" t="s">
        <v>54</v>
      </c>
    </row>
    <row r="51" spans="1:35" ht="12.75">
      <c r="A51" s="269">
        <v>38</v>
      </c>
      <c r="B51" s="269" t="s">
        <v>49</v>
      </c>
      <c r="C51" s="269" t="s">
        <v>105</v>
      </c>
      <c r="D51" s="269" t="s">
        <v>54</v>
      </c>
      <c r="E51" s="277">
        <v>3200</v>
      </c>
      <c r="F51" s="277">
        <v>340</v>
      </c>
      <c r="G51" s="277"/>
      <c r="H51" s="277">
        <v>100</v>
      </c>
      <c r="I51" s="277">
        <v>264</v>
      </c>
      <c r="J51" s="277">
        <v>300</v>
      </c>
      <c r="K51" s="296">
        <f t="shared" si="85"/>
        <v>4204</v>
      </c>
      <c r="L51" s="277">
        <v>5244</v>
      </c>
      <c r="M51" s="296">
        <f t="shared" si="86"/>
        <v>839.04</v>
      </c>
      <c r="N51" s="296">
        <f t="shared" si="87"/>
        <v>445.74</v>
      </c>
      <c r="O51" s="296">
        <f t="shared" si="88"/>
        <v>26.22</v>
      </c>
      <c r="P51" s="296">
        <f t="shared" si="89"/>
        <v>14.68</v>
      </c>
      <c r="Q51" s="296"/>
      <c r="R51" s="296">
        <f t="shared" si="90"/>
        <v>630</v>
      </c>
      <c r="S51" s="296">
        <f t="shared" si="100"/>
        <v>1716.96</v>
      </c>
      <c r="T51" s="296">
        <f t="shared" si="101"/>
        <v>1287.72</v>
      </c>
      <c r="U51" s="305">
        <v>1200</v>
      </c>
      <c r="V51" s="296">
        <f t="shared" si="102"/>
        <v>7359.68</v>
      </c>
      <c r="W51" s="305">
        <v>22500</v>
      </c>
      <c r="X51" s="296">
        <f t="shared" si="103"/>
        <v>112320.84000000001</v>
      </c>
      <c r="Y51" s="309">
        <f t="shared" si="91"/>
        <v>419.52</v>
      </c>
      <c r="Z51" s="309">
        <f t="shared" si="92"/>
        <v>104.88</v>
      </c>
      <c r="AA51" s="309">
        <f t="shared" si="93"/>
        <v>26.22</v>
      </c>
      <c r="AB51" s="309">
        <f t="shared" si="94"/>
        <v>550.62</v>
      </c>
      <c r="AC51" s="309">
        <f t="shared" si="95"/>
        <v>419.52</v>
      </c>
      <c r="AD51" s="309">
        <f t="shared" si="96"/>
        <v>104.88</v>
      </c>
      <c r="AE51" s="309">
        <f t="shared" si="97"/>
        <v>26.22</v>
      </c>
      <c r="AF51" s="309">
        <f t="shared" si="98"/>
        <v>550.62</v>
      </c>
      <c r="AG51" s="309">
        <f t="shared" si="99"/>
        <v>0</v>
      </c>
      <c r="AH51" s="317"/>
      <c r="AI51" s="322" t="s">
        <v>54</v>
      </c>
    </row>
    <row r="52" spans="1:35" ht="14.25">
      <c r="A52" s="269">
        <v>39</v>
      </c>
      <c r="B52" s="269" t="s">
        <v>49</v>
      </c>
      <c r="C52" s="269" t="s">
        <v>106</v>
      </c>
      <c r="D52" s="269" t="s">
        <v>54</v>
      </c>
      <c r="E52" s="277">
        <v>3200</v>
      </c>
      <c r="F52" s="277">
        <v>80</v>
      </c>
      <c r="G52" s="277"/>
      <c r="H52" s="277">
        <v>100</v>
      </c>
      <c r="I52" s="277">
        <v>264</v>
      </c>
      <c r="J52" s="277">
        <v>300</v>
      </c>
      <c r="K52" s="296">
        <f t="shared" si="85"/>
        <v>3944</v>
      </c>
      <c r="L52" s="277">
        <v>4491.6</v>
      </c>
      <c r="M52" s="296">
        <f t="shared" si="86"/>
        <v>745.71</v>
      </c>
      <c r="N52" s="296">
        <f t="shared" si="87"/>
        <v>404.69</v>
      </c>
      <c r="O52" s="296">
        <f t="shared" si="88"/>
        <v>23.81</v>
      </c>
      <c r="P52" s="296">
        <f t="shared" si="89"/>
        <v>13.33</v>
      </c>
      <c r="Q52" s="296"/>
      <c r="R52" s="296">
        <f>CEILING(3280*12%,1)</f>
        <v>394</v>
      </c>
      <c r="S52" s="296">
        <f t="shared" si="100"/>
        <v>1654.56</v>
      </c>
      <c r="T52" s="296">
        <f t="shared" si="101"/>
        <v>1240.9199999999998</v>
      </c>
      <c r="U52" s="305">
        <v>1200</v>
      </c>
      <c r="V52" s="296">
        <f t="shared" si="102"/>
        <v>6725.540000000001</v>
      </c>
      <c r="W52" s="305">
        <v>22500</v>
      </c>
      <c r="X52" s="296">
        <f t="shared" si="103"/>
        <v>104601.96</v>
      </c>
      <c r="Y52" s="309">
        <f t="shared" si="91"/>
        <v>359.33</v>
      </c>
      <c r="Z52" s="309">
        <f t="shared" si="92"/>
        <v>89.83</v>
      </c>
      <c r="AA52" s="309">
        <f t="shared" si="93"/>
        <v>22.46</v>
      </c>
      <c r="AB52" s="309">
        <f t="shared" si="94"/>
        <v>471.61999999999995</v>
      </c>
      <c r="AC52" s="309">
        <f t="shared" si="95"/>
        <v>359.33</v>
      </c>
      <c r="AD52" s="309">
        <f t="shared" si="96"/>
        <v>89.83</v>
      </c>
      <c r="AE52" s="309">
        <f t="shared" si="97"/>
        <v>22.46</v>
      </c>
      <c r="AF52" s="309">
        <f t="shared" si="98"/>
        <v>471.61999999999995</v>
      </c>
      <c r="AG52" s="309">
        <f t="shared" si="99"/>
        <v>0</v>
      </c>
      <c r="AH52" s="319"/>
      <c r="AI52" s="322" t="s">
        <v>54</v>
      </c>
    </row>
    <row r="53" spans="1:35" ht="12.75">
      <c r="A53" s="269">
        <v>40</v>
      </c>
      <c r="B53" s="269" t="s">
        <v>55</v>
      </c>
      <c r="C53" s="269" t="s">
        <v>107</v>
      </c>
      <c r="D53" s="269" t="s">
        <v>54</v>
      </c>
      <c r="E53" s="277">
        <v>3200</v>
      </c>
      <c r="F53" s="277">
        <v>50</v>
      </c>
      <c r="G53" s="277"/>
      <c r="H53" s="277">
        <v>100</v>
      </c>
      <c r="I53" s="277">
        <v>264</v>
      </c>
      <c r="J53" s="277">
        <v>300</v>
      </c>
      <c r="K53" s="296">
        <f t="shared" si="85"/>
        <v>3914</v>
      </c>
      <c r="L53" s="277">
        <v>4491.6</v>
      </c>
      <c r="M53" s="296">
        <f t="shared" si="86"/>
        <v>745.71</v>
      </c>
      <c r="N53" s="296">
        <f t="shared" si="87"/>
        <v>404.69</v>
      </c>
      <c r="O53" s="296">
        <f t="shared" si="88"/>
        <v>23.81</v>
      </c>
      <c r="P53" s="296">
        <f t="shared" si="89"/>
        <v>13.33</v>
      </c>
      <c r="Q53" s="296"/>
      <c r="R53" s="296">
        <f>CEILING(3250*12%,1)</f>
        <v>390</v>
      </c>
      <c r="S53" s="296">
        <f t="shared" si="100"/>
        <v>1647.3600000000001</v>
      </c>
      <c r="T53" s="296">
        <f t="shared" si="101"/>
        <v>1235.52</v>
      </c>
      <c r="U53" s="305">
        <v>1200</v>
      </c>
      <c r="V53" s="296">
        <f t="shared" si="102"/>
        <v>6691.540000000001</v>
      </c>
      <c r="W53" s="305">
        <v>22500</v>
      </c>
      <c r="X53" s="296">
        <f t="shared" si="103"/>
        <v>104181.36000000002</v>
      </c>
      <c r="Y53" s="309">
        <f t="shared" si="91"/>
        <v>359.33</v>
      </c>
      <c r="Z53" s="309">
        <f t="shared" si="92"/>
        <v>89.83</v>
      </c>
      <c r="AA53" s="309">
        <f t="shared" si="93"/>
        <v>22.46</v>
      </c>
      <c r="AB53" s="309">
        <f t="shared" si="94"/>
        <v>471.61999999999995</v>
      </c>
      <c r="AC53" s="309">
        <f t="shared" si="95"/>
        <v>359.33</v>
      </c>
      <c r="AD53" s="309">
        <f t="shared" si="96"/>
        <v>89.83</v>
      </c>
      <c r="AE53" s="309">
        <f t="shared" si="97"/>
        <v>22.46</v>
      </c>
      <c r="AF53" s="309">
        <f t="shared" si="98"/>
        <v>471.61999999999995</v>
      </c>
      <c r="AG53" s="309">
        <f t="shared" si="99"/>
        <v>0</v>
      </c>
      <c r="AH53" s="309"/>
      <c r="AI53" s="322" t="s">
        <v>54</v>
      </c>
    </row>
    <row r="54" spans="1:35" ht="12.75">
      <c r="A54" s="269"/>
      <c r="B54" s="269"/>
      <c r="C54" s="269"/>
      <c r="D54" s="269"/>
      <c r="E54" s="277"/>
      <c r="F54" s="277"/>
      <c r="G54" s="277"/>
      <c r="H54" s="277"/>
      <c r="I54" s="277"/>
      <c r="J54" s="277"/>
      <c r="K54" s="296"/>
      <c r="L54" s="277"/>
      <c r="M54" s="296"/>
      <c r="N54" s="296"/>
      <c r="O54" s="296"/>
      <c r="P54" s="296"/>
      <c r="Q54" s="296"/>
      <c r="R54" s="296"/>
      <c r="S54" s="296"/>
      <c r="T54" s="296"/>
      <c r="U54" s="305"/>
      <c r="V54" s="296">
        <f>SUM(E54:I54)+SUM(M54:R54)+U54</f>
        <v>0</v>
      </c>
      <c r="W54" s="305"/>
      <c r="X54" s="296">
        <f>V54*12+W54+S54+T54+J54*7</f>
        <v>0</v>
      </c>
      <c r="Y54" s="309"/>
      <c r="Z54" s="309"/>
      <c r="AA54" s="309"/>
      <c r="AB54" s="309"/>
      <c r="AC54" s="309"/>
      <c r="AD54" s="309"/>
      <c r="AE54" s="309"/>
      <c r="AF54" s="309"/>
      <c r="AG54" s="309"/>
      <c r="AH54" s="309" t="s">
        <v>108</v>
      </c>
      <c r="AI54" s="322"/>
    </row>
    <row r="55" spans="1:35" ht="12.75">
      <c r="A55" s="269"/>
      <c r="B55" s="269" t="s">
        <v>55</v>
      </c>
      <c r="C55" s="269"/>
      <c r="D55" s="269"/>
      <c r="E55" s="277"/>
      <c r="F55" s="277"/>
      <c r="G55" s="277"/>
      <c r="H55" s="277"/>
      <c r="I55" s="277"/>
      <c r="J55" s="277"/>
      <c r="K55" s="296"/>
      <c r="L55" s="277"/>
      <c r="M55" s="296"/>
      <c r="N55" s="296"/>
      <c r="O55" s="296"/>
      <c r="P55" s="296"/>
      <c r="Q55" s="296"/>
      <c r="R55" s="296"/>
      <c r="S55" s="296"/>
      <c r="T55" s="296"/>
      <c r="U55" s="305"/>
      <c r="V55" s="296">
        <f>SUM(E55:I55)+SUM(M55:R55)+U55</f>
        <v>0</v>
      </c>
      <c r="W55" s="305"/>
      <c r="X55" s="296">
        <f>V55*9+W55+S55+T55+J55*7</f>
        <v>0</v>
      </c>
      <c r="Y55" s="309">
        <f aca="true" t="shared" si="104" ref="Y55:Y62">ROUND(L55*8%,2)</f>
        <v>0</v>
      </c>
      <c r="Z55" s="309">
        <f aca="true" t="shared" si="105" ref="Z55:Z62">ROUND(L55*2%,2)</f>
        <v>0</v>
      </c>
      <c r="AA55" s="309">
        <f aca="true" t="shared" si="106" ref="AA55:AA62">ROUND(L55*0.5%,2)</f>
        <v>0</v>
      </c>
      <c r="AB55" s="309">
        <f aca="true" t="shared" si="107" ref="AB55:AB62">SUM(Y55:AA55)</f>
        <v>0</v>
      </c>
      <c r="AC55" s="309">
        <f aca="true" t="shared" si="108" ref="AC55:AC62">ROUND(IF(L55&gt;3453*105%,L55,3453*105%)*8%,2)</f>
        <v>290.05</v>
      </c>
      <c r="AD55" s="309">
        <f aca="true" t="shared" si="109" ref="AD55:AD62">ROUND(IF(L55&gt;3453*105%,L55,3453*105%)*2%,2)</f>
        <v>72.51</v>
      </c>
      <c r="AE55" s="309">
        <f aca="true" t="shared" si="110" ref="AE55:AE62">ROUND(IF(L55&gt;3453*105%,L55,3453*105%)*0.5%,2)</f>
        <v>18.13</v>
      </c>
      <c r="AF55" s="309">
        <f aca="true" t="shared" si="111" ref="AF55:AF62">SUM(AC55:AE55)</f>
        <v>380.69</v>
      </c>
      <c r="AG55" s="309">
        <f aca="true" t="shared" si="112" ref="AG55:AG62">AF55-AB55</f>
        <v>380.69</v>
      </c>
      <c r="AH55" s="309" t="s">
        <v>89</v>
      </c>
      <c r="AI55" s="322"/>
    </row>
    <row r="56" spans="1:35" ht="12.75">
      <c r="A56" s="269"/>
      <c r="B56" s="269"/>
      <c r="C56" s="269"/>
      <c r="D56" s="269"/>
      <c r="E56" s="277"/>
      <c r="F56" s="277"/>
      <c r="G56" s="277"/>
      <c r="H56" s="277"/>
      <c r="I56" s="277"/>
      <c r="J56" s="277"/>
      <c r="K56" s="296"/>
      <c r="L56" s="277"/>
      <c r="M56" s="296"/>
      <c r="N56" s="296"/>
      <c r="O56" s="296"/>
      <c r="P56" s="296"/>
      <c r="Q56" s="296"/>
      <c r="R56" s="296"/>
      <c r="S56" s="296"/>
      <c r="T56" s="296"/>
      <c r="U56" s="305"/>
      <c r="V56" s="296">
        <f>SUM(E56:I56)+SUM(M56:R56)+U56</f>
        <v>0</v>
      </c>
      <c r="W56" s="305"/>
      <c r="X56" s="296">
        <f>V56*9+W56+S56+T56+J56*7</f>
        <v>0</v>
      </c>
      <c r="Y56" s="309">
        <f t="shared" si="104"/>
        <v>0</v>
      </c>
      <c r="Z56" s="309">
        <f t="shared" si="105"/>
        <v>0</v>
      </c>
      <c r="AA56" s="309">
        <f t="shared" si="106"/>
        <v>0</v>
      </c>
      <c r="AB56" s="309">
        <f t="shared" si="107"/>
        <v>0</v>
      </c>
      <c r="AC56" s="309">
        <f t="shared" si="108"/>
        <v>290.05</v>
      </c>
      <c r="AD56" s="309">
        <f t="shared" si="109"/>
        <v>72.51</v>
      </c>
      <c r="AE56" s="309">
        <f t="shared" si="110"/>
        <v>18.13</v>
      </c>
      <c r="AF56" s="309">
        <f t="shared" si="111"/>
        <v>380.69</v>
      </c>
      <c r="AG56" s="309">
        <f t="shared" si="112"/>
        <v>380.69</v>
      </c>
      <c r="AH56" s="309" t="s">
        <v>72</v>
      </c>
      <c r="AI56" s="322"/>
    </row>
    <row r="57" spans="1:36" ht="14.25">
      <c r="A57" s="284" t="s">
        <v>109</v>
      </c>
      <c r="B57" s="285"/>
      <c r="C57" s="285"/>
      <c r="D57" s="286"/>
      <c r="E57" s="281">
        <f>SUM(E41:E56)</f>
        <v>51400</v>
      </c>
      <c r="F57" s="281">
        <f aca="true" t="shared" si="113" ref="F57:L57">SUM(F41:F56)</f>
        <v>2810</v>
      </c>
      <c r="G57" s="281">
        <f t="shared" si="113"/>
        <v>0</v>
      </c>
      <c r="H57" s="281">
        <f t="shared" si="113"/>
        <v>1900</v>
      </c>
      <c r="I57" s="281">
        <f t="shared" si="113"/>
        <v>3432</v>
      </c>
      <c r="J57" s="281">
        <f t="shared" si="113"/>
        <v>3900</v>
      </c>
      <c r="K57" s="297">
        <f t="shared" si="113"/>
        <v>63442</v>
      </c>
      <c r="L57" s="281"/>
      <c r="M57" s="299">
        <f>SUM(M41:M56)</f>
        <v>12642.779999999995</v>
      </c>
      <c r="N57" s="299">
        <f aca="true" t="shared" si="114" ref="N57:X57">SUM(N41:N56)</f>
        <v>6733.549999999998</v>
      </c>
      <c r="O57" s="299">
        <f t="shared" si="114"/>
        <v>396.1099999999999</v>
      </c>
      <c r="P57" s="299">
        <f t="shared" si="114"/>
        <v>221.80000000000004</v>
      </c>
      <c r="Q57" s="299">
        <f t="shared" si="114"/>
        <v>0</v>
      </c>
      <c r="R57" s="299">
        <f t="shared" si="114"/>
        <v>9153</v>
      </c>
      <c r="S57" s="299">
        <f t="shared" si="114"/>
        <v>25958.079999999998</v>
      </c>
      <c r="T57" s="299">
        <f t="shared" si="114"/>
        <v>19468.559999999998</v>
      </c>
      <c r="U57" s="307">
        <f t="shared" si="114"/>
        <v>16800</v>
      </c>
      <c r="V57" s="299">
        <f t="shared" si="114"/>
        <v>109389.24000000002</v>
      </c>
      <c r="W57" s="307">
        <f t="shared" si="114"/>
        <v>354500</v>
      </c>
      <c r="X57" s="299">
        <f t="shared" si="114"/>
        <v>1693097.52</v>
      </c>
      <c r="Y57" s="315" t="e">
        <f>(#REF!+U57)*12+W57</f>
        <v>#REF!</v>
      </c>
      <c r="Z57" s="315"/>
      <c r="AA57" s="315"/>
      <c r="AB57" s="315"/>
      <c r="AC57" s="315"/>
      <c r="AD57" s="315"/>
      <c r="AE57" s="315"/>
      <c r="AF57" s="315"/>
      <c r="AG57" s="315">
        <f>SUM(AG41:AG53)</f>
        <v>0</v>
      </c>
      <c r="AH57" s="324"/>
      <c r="AI57" s="325"/>
      <c r="AJ57" s="263">
        <f>SUM(U41:U54)*12+(U55+U56)*9+W57</f>
        <v>556100</v>
      </c>
    </row>
    <row r="58" spans="1:35" ht="12.75">
      <c r="A58" s="269">
        <v>41</v>
      </c>
      <c r="B58" s="269" t="s">
        <v>110</v>
      </c>
      <c r="C58" s="269" t="s">
        <v>111</v>
      </c>
      <c r="D58" s="269" t="s">
        <v>82</v>
      </c>
      <c r="E58" s="277">
        <v>5300</v>
      </c>
      <c r="F58" s="277">
        <v>220</v>
      </c>
      <c r="G58" s="277">
        <v>100</v>
      </c>
      <c r="H58" s="277">
        <v>250</v>
      </c>
      <c r="I58" s="277">
        <v>264</v>
      </c>
      <c r="J58" s="277">
        <v>300</v>
      </c>
      <c r="K58" s="296">
        <f aca="true" t="shared" si="115" ref="K58:K63">SUM(E58:J58)</f>
        <v>6434</v>
      </c>
      <c r="L58" s="277">
        <v>7737</v>
      </c>
      <c r="M58" s="296">
        <f aca="true" t="shared" si="116" ref="M58:M63">ROUND(IF(L58&gt;4660.7,L58,4660.7)*16%,2)</f>
        <v>1237.92</v>
      </c>
      <c r="N58" s="296">
        <f aca="true" t="shared" si="117" ref="N58:N63">ROUND(IF(L58&gt;4761.1,L58,4761.1)*8.5%,2)</f>
        <v>657.65</v>
      </c>
      <c r="O58" s="296">
        <f aca="true" t="shared" si="118" ref="O58:O63">ROUND(IF(L58&gt;4761.1,L58,4761.1)*0.5%,2)</f>
        <v>38.69</v>
      </c>
      <c r="P58" s="296">
        <f aca="true" t="shared" si="119" ref="P58:P63">ROUND(IF(L58&gt;4761.1,L58,4761.1)*0.28%,2)</f>
        <v>21.66</v>
      </c>
      <c r="Q58" s="296"/>
      <c r="R58" s="296">
        <f aca="true" t="shared" si="120" ref="R58:R63">CEILING(L58*12%,1)</f>
        <v>929</v>
      </c>
      <c r="S58" s="296">
        <f aca="true" t="shared" si="121" ref="S58:S63">((SUM(E58:I58)+U58)*12+J58*7+W58)*2%</f>
        <v>2624.16</v>
      </c>
      <c r="T58" s="296">
        <f aca="true" t="shared" si="122" ref="T58:T63">((SUM(E58:I58)+U58)*12+J58*7+W58)*1.5%</f>
        <v>1968.12</v>
      </c>
      <c r="U58" s="305">
        <v>1500</v>
      </c>
      <c r="V58" s="296">
        <f aca="true" t="shared" si="123" ref="V58:V63">SUM(K58:R58)-L58+U58</f>
        <v>10818.919999999998</v>
      </c>
      <c r="W58" s="305">
        <v>37500</v>
      </c>
      <c r="X58" s="296">
        <f aca="true" t="shared" si="124" ref="X58:X63">V58*12+W58+S58+T58-J58*5</f>
        <v>170419.31999999998</v>
      </c>
      <c r="Y58" s="309">
        <f t="shared" si="104"/>
        <v>618.96</v>
      </c>
      <c r="Z58" s="309">
        <f t="shared" si="105"/>
        <v>154.74</v>
      </c>
      <c r="AA58" s="309">
        <f t="shared" si="106"/>
        <v>38.69</v>
      </c>
      <c r="AB58" s="309">
        <f t="shared" si="107"/>
        <v>812.3900000000001</v>
      </c>
      <c r="AC58" s="309">
        <f t="shared" si="108"/>
        <v>618.96</v>
      </c>
      <c r="AD58" s="309">
        <f t="shared" si="109"/>
        <v>154.74</v>
      </c>
      <c r="AE58" s="309">
        <f t="shared" si="110"/>
        <v>38.69</v>
      </c>
      <c r="AF58" s="309">
        <f t="shared" si="111"/>
        <v>812.3900000000001</v>
      </c>
      <c r="AG58" s="309">
        <f t="shared" si="112"/>
        <v>0</v>
      </c>
      <c r="AH58" s="309"/>
      <c r="AI58" s="322" t="s">
        <v>39</v>
      </c>
    </row>
    <row r="59" spans="1:35" ht="12.75">
      <c r="A59" s="269">
        <v>42</v>
      </c>
      <c r="B59" s="269" t="s">
        <v>110</v>
      </c>
      <c r="C59" s="269" t="s">
        <v>112</v>
      </c>
      <c r="D59" s="269" t="s">
        <v>53</v>
      </c>
      <c r="E59" s="277">
        <v>3900</v>
      </c>
      <c r="F59" s="277">
        <v>140</v>
      </c>
      <c r="G59" s="277">
        <v>200</v>
      </c>
      <c r="H59" s="277">
        <v>150</v>
      </c>
      <c r="I59" s="277">
        <v>264</v>
      </c>
      <c r="J59" s="277">
        <v>300</v>
      </c>
      <c r="K59" s="296">
        <f t="shared" si="115"/>
        <v>4954</v>
      </c>
      <c r="L59" s="277">
        <v>6082</v>
      </c>
      <c r="M59" s="296">
        <f t="shared" si="116"/>
        <v>973.12</v>
      </c>
      <c r="N59" s="296">
        <f t="shared" si="117"/>
        <v>516.97</v>
      </c>
      <c r="O59" s="296">
        <f t="shared" si="118"/>
        <v>30.41</v>
      </c>
      <c r="P59" s="296">
        <f t="shared" si="119"/>
        <v>17.03</v>
      </c>
      <c r="Q59" s="296"/>
      <c r="R59" s="296">
        <f t="shared" si="120"/>
        <v>730</v>
      </c>
      <c r="S59" s="296">
        <f t="shared" si="121"/>
        <v>2040.96</v>
      </c>
      <c r="T59" s="296">
        <f t="shared" si="122"/>
        <v>1530.72</v>
      </c>
      <c r="U59" s="305">
        <v>1300</v>
      </c>
      <c r="V59" s="296">
        <f t="shared" si="123"/>
        <v>8521.53</v>
      </c>
      <c r="W59" s="305">
        <v>28500</v>
      </c>
      <c r="X59" s="296">
        <f t="shared" si="124"/>
        <v>132830.04</v>
      </c>
      <c r="Y59" s="309">
        <f t="shared" si="104"/>
        <v>486.56</v>
      </c>
      <c r="Z59" s="309">
        <f t="shared" si="105"/>
        <v>121.64</v>
      </c>
      <c r="AA59" s="309">
        <f t="shared" si="106"/>
        <v>30.41</v>
      </c>
      <c r="AB59" s="309">
        <f t="shared" si="107"/>
        <v>638.61</v>
      </c>
      <c r="AC59" s="309">
        <f t="shared" si="108"/>
        <v>486.56</v>
      </c>
      <c r="AD59" s="309">
        <f t="shared" si="109"/>
        <v>121.64</v>
      </c>
      <c r="AE59" s="309">
        <f t="shared" si="110"/>
        <v>30.41</v>
      </c>
      <c r="AF59" s="309">
        <f t="shared" si="111"/>
        <v>638.61</v>
      </c>
      <c r="AG59" s="309">
        <f t="shared" si="112"/>
        <v>0</v>
      </c>
      <c r="AH59" s="309"/>
      <c r="AI59" s="322" t="s">
        <v>54</v>
      </c>
    </row>
    <row r="60" spans="1:35" ht="12.75">
      <c r="A60" s="269">
        <v>43</v>
      </c>
      <c r="B60" s="269" t="s">
        <v>110</v>
      </c>
      <c r="C60" s="269" t="s">
        <v>113</v>
      </c>
      <c r="D60" s="269" t="s">
        <v>54</v>
      </c>
      <c r="E60" s="277">
        <v>3200</v>
      </c>
      <c r="F60" s="277">
        <v>250</v>
      </c>
      <c r="G60" s="277"/>
      <c r="H60" s="277">
        <v>100</v>
      </c>
      <c r="I60" s="277">
        <v>264</v>
      </c>
      <c r="J60" s="277">
        <v>300</v>
      </c>
      <c r="K60" s="296">
        <f t="shared" si="115"/>
        <v>4114</v>
      </c>
      <c r="L60" s="277">
        <v>5139</v>
      </c>
      <c r="M60" s="296">
        <f t="shared" si="116"/>
        <v>822.24</v>
      </c>
      <c r="N60" s="296">
        <f t="shared" si="117"/>
        <v>436.82</v>
      </c>
      <c r="O60" s="296">
        <f t="shared" si="118"/>
        <v>25.7</v>
      </c>
      <c r="P60" s="296">
        <f t="shared" si="119"/>
        <v>14.39</v>
      </c>
      <c r="Q60" s="296"/>
      <c r="R60" s="296">
        <f t="shared" si="120"/>
        <v>617</v>
      </c>
      <c r="S60" s="296">
        <f t="shared" si="121"/>
        <v>1695.3600000000001</v>
      </c>
      <c r="T60" s="296">
        <f t="shared" si="122"/>
        <v>1271.52</v>
      </c>
      <c r="U60" s="305">
        <v>1200</v>
      </c>
      <c r="V60" s="296">
        <f t="shared" si="123"/>
        <v>7230.15</v>
      </c>
      <c r="W60" s="305">
        <v>22500</v>
      </c>
      <c r="X60" s="296">
        <f t="shared" si="124"/>
        <v>110728.68</v>
      </c>
      <c r="Y60" s="309">
        <f t="shared" si="104"/>
        <v>411.12</v>
      </c>
      <c r="Z60" s="309">
        <f t="shared" si="105"/>
        <v>102.78</v>
      </c>
      <c r="AA60" s="309">
        <f t="shared" si="106"/>
        <v>25.7</v>
      </c>
      <c r="AB60" s="309">
        <f t="shared" si="107"/>
        <v>539.6</v>
      </c>
      <c r="AC60" s="309">
        <f t="shared" si="108"/>
        <v>411.12</v>
      </c>
      <c r="AD60" s="309">
        <f t="shared" si="109"/>
        <v>102.78</v>
      </c>
      <c r="AE60" s="309">
        <f t="shared" si="110"/>
        <v>25.7</v>
      </c>
      <c r="AF60" s="309">
        <f t="shared" si="111"/>
        <v>539.6</v>
      </c>
      <c r="AG60" s="309">
        <f t="shared" si="112"/>
        <v>0</v>
      </c>
      <c r="AH60" s="309"/>
      <c r="AI60" s="322" t="s">
        <v>54</v>
      </c>
    </row>
    <row r="61" spans="1:35" ht="12.75">
      <c r="A61" s="269">
        <v>44</v>
      </c>
      <c r="B61" s="269"/>
      <c r="C61" s="269" t="s">
        <v>114</v>
      </c>
      <c r="D61" s="269" t="s">
        <v>54</v>
      </c>
      <c r="E61" s="277">
        <v>3200</v>
      </c>
      <c r="F61" s="277">
        <v>40</v>
      </c>
      <c r="G61" s="277">
        <v>100</v>
      </c>
      <c r="H61" s="277">
        <v>100</v>
      </c>
      <c r="I61" s="277">
        <v>264</v>
      </c>
      <c r="J61" s="277">
        <v>300</v>
      </c>
      <c r="K61" s="296">
        <f t="shared" si="115"/>
        <v>4004</v>
      </c>
      <c r="L61" s="277">
        <v>5044</v>
      </c>
      <c r="M61" s="296">
        <f t="shared" si="116"/>
        <v>807.04</v>
      </c>
      <c r="N61" s="296">
        <f t="shared" si="117"/>
        <v>428.74</v>
      </c>
      <c r="O61" s="296">
        <f t="shared" si="118"/>
        <v>25.22</v>
      </c>
      <c r="P61" s="296">
        <f t="shared" si="119"/>
        <v>14.12</v>
      </c>
      <c r="Q61" s="296"/>
      <c r="R61" s="296">
        <f t="shared" si="120"/>
        <v>606</v>
      </c>
      <c r="S61" s="296">
        <f t="shared" si="121"/>
        <v>1668.96</v>
      </c>
      <c r="T61" s="296">
        <f t="shared" si="122"/>
        <v>1251.72</v>
      </c>
      <c r="U61" s="305">
        <v>1200</v>
      </c>
      <c r="V61" s="296">
        <f t="shared" si="123"/>
        <v>7085.120000000001</v>
      </c>
      <c r="W61" s="305">
        <v>22500</v>
      </c>
      <c r="X61" s="296">
        <f t="shared" si="124"/>
        <v>108942.12000000001</v>
      </c>
      <c r="Y61" s="309">
        <f t="shared" si="104"/>
        <v>403.52</v>
      </c>
      <c r="Z61" s="309">
        <f t="shared" si="105"/>
        <v>100.88</v>
      </c>
      <c r="AA61" s="309">
        <f t="shared" si="106"/>
        <v>25.22</v>
      </c>
      <c r="AB61" s="309">
        <f t="shared" si="107"/>
        <v>529.62</v>
      </c>
      <c r="AC61" s="309">
        <f t="shared" si="108"/>
        <v>403.52</v>
      </c>
      <c r="AD61" s="309">
        <f t="shared" si="109"/>
        <v>100.88</v>
      </c>
      <c r="AE61" s="309">
        <f t="shared" si="110"/>
        <v>25.22</v>
      </c>
      <c r="AF61" s="309">
        <f t="shared" si="111"/>
        <v>529.62</v>
      </c>
      <c r="AG61" s="309">
        <f t="shared" si="112"/>
        <v>0</v>
      </c>
      <c r="AH61" s="309"/>
      <c r="AI61" s="322" t="s">
        <v>54</v>
      </c>
    </row>
    <row r="62" spans="1:35" ht="12.75">
      <c r="A62" s="269">
        <v>45</v>
      </c>
      <c r="B62" s="269"/>
      <c r="C62" s="269" t="s">
        <v>115</v>
      </c>
      <c r="D62" s="269" t="s">
        <v>54</v>
      </c>
      <c r="E62" s="277">
        <v>3200</v>
      </c>
      <c r="F62" s="277">
        <v>50</v>
      </c>
      <c r="G62" s="277" t="s">
        <v>79</v>
      </c>
      <c r="H62" s="277">
        <v>100</v>
      </c>
      <c r="I62" s="277">
        <v>264</v>
      </c>
      <c r="J62" s="277">
        <v>300</v>
      </c>
      <c r="K62" s="296">
        <f t="shared" si="115"/>
        <v>3914</v>
      </c>
      <c r="L62" s="277">
        <v>4954</v>
      </c>
      <c r="M62" s="296">
        <f t="shared" si="116"/>
        <v>792.64</v>
      </c>
      <c r="N62" s="296">
        <f t="shared" si="117"/>
        <v>421.09</v>
      </c>
      <c r="O62" s="296">
        <f t="shared" si="118"/>
        <v>24.77</v>
      </c>
      <c r="P62" s="296">
        <f t="shared" si="119"/>
        <v>13.87</v>
      </c>
      <c r="Q62" s="296"/>
      <c r="R62" s="296">
        <f t="shared" si="120"/>
        <v>595</v>
      </c>
      <c r="S62" s="296">
        <f t="shared" si="121"/>
        <v>1647.3600000000001</v>
      </c>
      <c r="T62" s="296">
        <f t="shared" si="122"/>
        <v>1235.52</v>
      </c>
      <c r="U62" s="305">
        <v>1200</v>
      </c>
      <c r="V62" s="296">
        <f t="shared" si="123"/>
        <v>6961.370000000001</v>
      </c>
      <c r="W62" s="305">
        <v>22500</v>
      </c>
      <c r="X62" s="296">
        <f t="shared" si="124"/>
        <v>107419.32</v>
      </c>
      <c r="Y62" s="309">
        <f t="shared" si="104"/>
        <v>396.32</v>
      </c>
      <c r="Z62" s="309">
        <f t="shared" si="105"/>
        <v>99.08</v>
      </c>
      <c r="AA62" s="309">
        <f t="shared" si="106"/>
        <v>24.77</v>
      </c>
      <c r="AB62" s="309">
        <f t="shared" si="107"/>
        <v>520.17</v>
      </c>
      <c r="AC62" s="309">
        <f t="shared" si="108"/>
        <v>396.32</v>
      </c>
      <c r="AD62" s="309">
        <f t="shared" si="109"/>
        <v>99.08</v>
      </c>
      <c r="AE62" s="309">
        <f t="shared" si="110"/>
        <v>24.77</v>
      </c>
      <c r="AF62" s="309">
        <f t="shared" si="111"/>
        <v>520.17</v>
      </c>
      <c r="AG62" s="309">
        <f t="shared" si="112"/>
        <v>0</v>
      </c>
      <c r="AH62" s="309"/>
      <c r="AI62" s="322" t="s">
        <v>54</v>
      </c>
    </row>
    <row r="63" spans="1:35" ht="12.75">
      <c r="A63" s="269"/>
      <c r="B63" s="269"/>
      <c r="C63" s="283" t="s">
        <v>61</v>
      </c>
      <c r="D63" s="291" t="s">
        <v>84</v>
      </c>
      <c r="E63" s="277">
        <v>700</v>
      </c>
      <c r="F63" s="277" t="s">
        <v>79</v>
      </c>
      <c r="G63" s="277"/>
      <c r="H63" s="277">
        <v>50</v>
      </c>
      <c r="I63" s="277">
        <v>0</v>
      </c>
      <c r="J63" s="277"/>
      <c r="K63" s="296">
        <f t="shared" si="115"/>
        <v>750</v>
      </c>
      <c r="L63" s="277"/>
      <c r="M63" s="296"/>
      <c r="N63" s="296"/>
      <c r="O63" s="296"/>
      <c r="P63" s="296"/>
      <c r="Q63" s="296"/>
      <c r="R63" s="296">
        <f t="shared" si="120"/>
        <v>0</v>
      </c>
      <c r="S63" s="296">
        <f t="shared" si="121"/>
        <v>328</v>
      </c>
      <c r="T63" s="296">
        <f t="shared" si="122"/>
        <v>246</v>
      </c>
      <c r="U63" s="305">
        <v>200</v>
      </c>
      <c r="V63" s="296">
        <f t="shared" si="123"/>
        <v>950</v>
      </c>
      <c r="W63" s="305">
        <v>5000</v>
      </c>
      <c r="X63" s="296">
        <f t="shared" si="124"/>
        <v>16974</v>
      </c>
      <c r="Y63" s="309"/>
      <c r="Z63" s="309"/>
      <c r="AA63" s="309"/>
      <c r="AB63" s="309"/>
      <c r="AC63" s="309"/>
      <c r="AD63" s="309"/>
      <c r="AE63" s="309"/>
      <c r="AF63" s="309"/>
      <c r="AG63" s="309"/>
      <c r="AH63" s="309" t="s">
        <v>89</v>
      </c>
      <c r="AI63" s="321" t="s">
        <v>39</v>
      </c>
    </row>
    <row r="64" spans="1:36" ht="13.5">
      <c r="A64" s="284" t="s">
        <v>116</v>
      </c>
      <c r="B64" s="285"/>
      <c r="C64" s="285"/>
      <c r="D64" s="286"/>
      <c r="E64" s="281">
        <f>SUM(E58:E63)</f>
        <v>19500</v>
      </c>
      <c r="F64" s="281">
        <f aca="true" t="shared" si="125" ref="F64:K64">SUM(F58:F63)</f>
        <v>700</v>
      </c>
      <c r="G64" s="281">
        <f t="shared" si="125"/>
        <v>400</v>
      </c>
      <c r="H64" s="281">
        <f t="shared" si="125"/>
        <v>750</v>
      </c>
      <c r="I64" s="281">
        <f t="shared" si="125"/>
        <v>1320</v>
      </c>
      <c r="J64" s="281">
        <f t="shared" si="125"/>
        <v>1500</v>
      </c>
      <c r="K64" s="297">
        <f t="shared" si="125"/>
        <v>24170</v>
      </c>
      <c r="L64" s="300"/>
      <c r="M64" s="299">
        <f aca="true" t="shared" si="126" ref="M64:X64">SUM(M58:M63)</f>
        <v>4632.96</v>
      </c>
      <c r="N64" s="299">
        <f t="shared" si="126"/>
        <v>2461.27</v>
      </c>
      <c r="O64" s="299">
        <f t="shared" si="126"/>
        <v>144.79</v>
      </c>
      <c r="P64" s="299">
        <f t="shared" si="126"/>
        <v>81.07000000000001</v>
      </c>
      <c r="Q64" s="299">
        <f t="shared" si="126"/>
        <v>0</v>
      </c>
      <c r="R64" s="299">
        <f t="shared" si="126"/>
        <v>3477</v>
      </c>
      <c r="S64" s="299">
        <f t="shared" si="126"/>
        <v>10004.8</v>
      </c>
      <c r="T64" s="299">
        <f t="shared" si="126"/>
        <v>7503.6</v>
      </c>
      <c r="U64" s="307">
        <f t="shared" si="126"/>
        <v>6600</v>
      </c>
      <c r="V64" s="299">
        <f t="shared" si="126"/>
        <v>41567.090000000004</v>
      </c>
      <c r="W64" s="307">
        <f t="shared" si="126"/>
        <v>138500</v>
      </c>
      <c r="X64" s="299">
        <f t="shared" si="126"/>
        <v>647313.48</v>
      </c>
      <c r="Y64" s="315" t="e">
        <f>(#REF!+U64)*12+W64</f>
        <v>#REF!</v>
      </c>
      <c r="Z64" s="315"/>
      <c r="AA64" s="315"/>
      <c r="AB64" s="315"/>
      <c r="AC64" s="315"/>
      <c r="AD64" s="315"/>
      <c r="AE64" s="315"/>
      <c r="AF64" s="315"/>
      <c r="AG64" s="315">
        <f>SUM(AG58:AG61)</f>
        <v>0</v>
      </c>
      <c r="AH64" s="315"/>
      <c r="AI64" s="323"/>
      <c r="AJ64" s="263">
        <f>SUM(U58:U62)*12+U63*9+W64</f>
        <v>217100</v>
      </c>
    </row>
    <row r="65" spans="1:35" ht="14.25">
      <c r="A65" s="269">
        <v>46</v>
      </c>
      <c r="B65" s="269" t="s">
        <v>75</v>
      </c>
      <c r="C65" s="269" t="s">
        <v>117</v>
      </c>
      <c r="D65" s="269" t="s">
        <v>82</v>
      </c>
      <c r="E65" s="277">
        <v>5300</v>
      </c>
      <c r="F65" s="277">
        <v>280</v>
      </c>
      <c r="G65" s="277"/>
      <c r="H65" s="277">
        <v>250</v>
      </c>
      <c r="I65" s="277">
        <v>264</v>
      </c>
      <c r="J65" s="277">
        <v>300</v>
      </c>
      <c r="K65" s="296">
        <f>SUM(E65:J65)</f>
        <v>6394</v>
      </c>
      <c r="L65" s="277">
        <v>7678</v>
      </c>
      <c r="M65" s="296">
        <f aca="true" t="shared" si="127" ref="M65:M69">ROUND(IF(L65&gt;4660.7,L65,4660.7)*16%,2)</f>
        <v>1228.48</v>
      </c>
      <c r="N65" s="296">
        <f aca="true" t="shared" si="128" ref="N65:N69">ROUND(IF(L65&gt;4761.1,L65,4761.1)*8.5%,2)</f>
        <v>652.63</v>
      </c>
      <c r="O65" s="296">
        <f aca="true" t="shared" si="129" ref="O65:O69">ROUND(IF(L65&gt;4761.1,L65,4761.1)*0.5%,2)</f>
        <v>38.39</v>
      </c>
      <c r="P65" s="296">
        <f aca="true" t="shared" si="130" ref="P65:P69">ROUND(IF(L65&gt;4761.1,L65,4761.1)*0.28%,2)</f>
        <v>21.5</v>
      </c>
      <c r="Q65" s="296"/>
      <c r="R65" s="296">
        <f aca="true" t="shared" si="131" ref="R65:R69">CEILING(L65*12%,1)</f>
        <v>922</v>
      </c>
      <c r="S65" s="296">
        <f>((SUM(E65:I65)+U65)*12+J65*7+W65)*2%</f>
        <v>2614.56</v>
      </c>
      <c r="T65" s="296">
        <f>((SUM(E65:I65)+U65)*12+J65*7+W65)*1.5%</f>
        <v>1960.9199999999998</v>
      </c>
      <c r="U65" s="305">
        <v>1500</v>
      </c>
      <c r="V65" s="296">
        <f>SUM(K65:R65)-L65+U65</f>
        <v>10757</v>
      </c>
      <c r="W65" s="305">
        <v>37500</v>
      </c>
      <c r="X65" s="296">
        <f>V65*12+W65+S65+T65-J65*5</f>
        <v>169659.48</v>
      </c>
      <c r="Y65" s="309">
        <f aca="true" t="shared" si="132" ref="Y65:Y69">ROUND(L65*8%,2)</f>
        <v>614.24</v>
      </c>
      <c r="Z65" s="309">
        <f aca="true" t="shared" si="133" ref="Z65:Z69">ROUND(L65*2%,2)</f>
        <v>153.56</v>
      </c>
      <c r="AA65" s="309">
        <f aca="true" t="shared" si="134" ref="AA65:AA69">ROUND(L65*0.5%,2)</f>
        <v>38.39</v>
      </c>
      <c r="AB65" s="309">
        <f aca="true" t="shared" si="135" ref="AB65:AB69">SUM(Y65:AA65)</f>
        <v>806.1899999999999</v>
      </c>
      <c r="AC65" s="309">
        <f aca="true" t="shared" si="136" ref="AC65:AC69">ROUND(IF(L65&gt;3453*105%,L65,3453*105%)*8%,2)</f>
        <v>614.24</v>
      </c>
      <c r="AD65" s="309">
        <f aca="true" t="shared" si="137" ref="AD65:AD69">ROUND(IF(L65&gt;3453*105%,L65,3453*105%)*2%,2)</f>
        <v>153.56</v>
      </c>
      <c r="AE65" s="309">
        <f aca="true" t="shared" si="138" ref="AE65:AE69">ROUND(IF(L65&gt;3453*105%,L65,3453*105%)*0.5%,2)</f>
        <v>38.39</v>
      </c>
      <c r="AF65" s="309">
        <f aca="true" t="shared" si="139" ref="AF65:AF69">SUM(AC65:AE65)</f>
        <v>806.1899999999999</v>
      </c>
      <c r="AG65" s="309">
        <f aca="true" t="shared" si="140" ref="AG65:AG67">AF65-AB65</f>
        <v>0</v>
      </c>
      <c r="AH65" s="319"/>
      <c r="AI65" s="322" t="s">
        <v>39</v>
      </c>
    </row>
    <row r="66" spans="1:35" ht="12.75">
      <c r="A66" s="269">
        <v>47</v>
      </c>
      <c r="B66" s="269" t="s">
        <v>92</v>
      </c>
      <c r="C66" s="269" t="s">
        <v>118</v>
      </c>
      <c r="D66" s="269" t="s">
        <v>84</v>
      </c>
      <c r="E66" s="277">
        <v>4600</v>
      </c>
      <c r="F66" s="277">
        <v>90</v>
      </c>
      <c r="G66" s="277">
        <v>200</v>
      </c>
      <c r="H66" s="277">
        <v>200</v>
      </c>
      <c r="I66" s="277">
        <v>264</v>
      </c>
      <c r="J66" s="277">
        <v>300</v>
      </c>
      <c r="K66" s="296">
        <f>SUM(E66:J66)</f>
        <v>5654</v>
      </c>
      <c r="L66" s="277">
        <v>6899</v>
      </c>
      <c r="M66" s="296">
        <f t="shared" si="127"/>
        <v>1103.84</v>
      </c>
      <c r="N66" s="296">
        <f t="shared" si="128"/>
        <v>586.42</v>
      </c>
      <c r="O66" s="296">
        <f t="shared" si="129"/>
        <v>34.5</v>
      </c>
      <c r="P66" s="296">
        <f t="shared" si="130"/>
        <v>19.32</v>
      </c>
      <c r="Q66" s="296"/>
      <c r="R66" s="296">
        <f t="shared" si="131"/>
        <v>828</v>
      </c>
      <c r="S66" s="296">
        <f>((SUM(E66:I66)+U66)*12+J66*7+W66)*2%</f>
        <v>2332.96</v>
      </c>
      <c r="T66" s="296">
        <f>((SUM(E66:I66)+U66)*12+J66*7+W66)*1.5%</f>
        <v>1749.72</v>
      </c>
      <c r="U66" s="305">
        <v>1400</v>
      </c>
      <c r="V66" s="296">
        <f>SUM(K66:R66)-L66+U66</f>
        <v>9626.08</v>
      </c>
      <c r="W66" s="305">
        <v>33500</v>
      </c>
      <c r="X66" s="296">
        <f>V66*12+W66+S66+T66-J66*5</f>
        <v>151595.63999999998</v>
      </c>
      <c r="Y66" s="309">
        <f t="shared" si="132"/>
        <v>551.92</v>
      </c>
      <c r="Z66" s="309">
        <f t="shared" si="133"/>
        <v>137.98</v>
      </c>
      <c r="AA66" s="309">
        <f t="shared" si="134"/>
        <v>34.5</v>
      </c>
      <c r="AB66" s="309">
        <f t="shared" si="135"/>
        <v>724.4</v>
      </c>
      <c r="AC66" s="309">
        <f t="shared" si="136"/>
        <v>551.92</v>
      </c>
      <c r="AD66" s="309">
        <f t="shared" si="137"/>
        <v>137.98</v>
      </c>
      <c r="AE66" s="309">
        <f t="shared" si="138"/>
        <v>34.5</v>
      </c>
      <c r="AF66" s="309">
        <f t="shared" si="139"/>
        <v>724.4</v>
      </c>
      <c r="AG66" s="309">
        <f t="shared" si="140"/>
        <v>0</v>
      </c>
      <c r="AI66" s="322" t="s">
        <v>39</v>
      </c>
    </row>
    <row r="67" spans="1:35" ht="12.75">
      <c r="A67" s="269">
        <v>48</v>
      </c>
      <c r="B67" s="269" t="s">
        <v>92</v>
      </c>
      <c r="C67" s="269" t="s">
        <v>119</v>
      </c>
      <c r="D67" s="269" t="s">
        <v>53</v>
      </c>
      <c r="E67" s="277">
        <v>4600</v>
      </c>
      <c r="F67" s="277">
        <v>180</v>
      </c>
      <c r="G67" s="277"/>
      <c r="H67" s="277">
        <v>150</v>
      </c>
      <c r="I67" s="277">
        <v>264</v>
      </c>
      <c r="J67" s="277">
        <v>300</v>
      </c>
      <c r="K67" s="296">
        <f>SUM(E67:J67)</f>
        <v>5494</v>
      </c>
      <c r="L67" s="277">
        <v>6589</v>
      </c>
      <c r="M67" s="296">
        <f t="shared" si="127"/>
        <v>1054.24</v>
      </c>
      <c r="N67" s="296">
        <f t="shared" si="128"/>
        <v>560.07</v>
      </c>
      <c r="O67" s="296">
        <f t="shared" si="129"/>
        <v>32.95</v>
      </c>
      <c r="P67" s="296">
        <f t="shared" si="130"/>
        <v>18.45</v>
      </c>
      <c r="Q67" s="296"/>
      <c r="R67" s="296">
        <f t="shared" si="131"/>
        <v>791</v>
      </c>
      <c r="S67" s="296">
        <f>((SUM(E67:I67)+U67)*12+J67*7+W67)*2%</f>
        <v>2170.56</v>
      </c>
      <c r="T67" s="296">
        <f>((SUM(E67:I67)+U67)*12+J67*7+W67)*1.5%</f>
        <v>1627.9199999999998</v>
      </c>
      <c r="U67" s="305">
        <v>1300</v>
      </c>
      <c r="V67" s="296">
        <f>SUM(K67:R67)-L67+U67</f>
        <v>9250.710000000001</v>
      </c>
      <c r="W67" s="305">
        <v>28500</v>
      </c>
      <c r="X67" s="296">
        <f>V67*12+W67+S67+T67-J67*5</f>
        <v>141807.00000000003</v>
      </c>
      <c r="Y67" s="309">
        <f t="shared" si="132"/>
        <v>527.12</v>
      </c>
      <c r="Z67" s="309">
        <f t="shared" si="133"/>
        <v>131.78</v>
      </c>
      <c r="AA67" s="309">
        <f t="shared" si="134"/>
        <v>32.95</v>
      </c>
      <c r="AB67" s="309">
        <f t="shared" si="135"/>
        <v>691.85</v>
      </c>
      <c r="AC67" s="309">
        <f t="shared" si="136"/>
        <v>527.12</v>
      </c>
      <c r="AD67" s="309">
        <f t="shared" si="137"/>
        <v>131.78</v>
      </c>
      <c r="AE67" s="309">
        <f t="shared" si="138"/>
        <v>32.95</v>
      </c>
      <c r="AF67" s="309">
        <f t="shared" si="139"/>
        <v>691.85</v>
      </c>
      <c r="AG67" s="309">
        <f t="shared" si="140"/>
        <v>0</v>
      </c>
      <c r="AH67" s="309"/>
      <c r="AI67" s="322" t="s">
        <v>54</v>
      </c>
    </row>
    <row r="68" spans="1:35" ht="12.75">
      <c r="A68" s="269">
        <v>49</v>
      </c>
      <c r="B68" s="269"/>
      <c r="C68" s="269" t="s">
        <v>120</v>
      </c>
      <c r="D68" s="269" t="s">
        <v>54</v>
      </c>
      <c r="E68" s="277">
        <v>3200</v>
      </c>
      <c r="F68" s="277">
        <v>50</v>
      </c>
      <c r="G68" s="277">
        <v>100</v>
      </c>
      <c r="H68" s="277">
        <v>100</v>
      </c>
      <c r="I68" s="277">
        <v>264</v>
      </c>
      <c r="J68" s="277">
        <v>300</v>
      </c>
      <c r="K68" s="296">
        <f>SUM(E68:J68)</f>
        <v>4014</v>
      </c>
      <c r="L68" s="277">
        <v>5024</v>
      </c>
      <c r="M68" s="296">
        <f t="shared" si="127"/>
        <v>803.84</v>
      </c>
      <c r="N68" s="296">
        <f t="shared" si="128"/>
        <v>427.04</v>
      </c>
      <c r="O68" s="296">
        <f t="shared" si="129"/>
        <v>25.12</v>
      </c>
      <c r="P68" s="296">
        <f t="shared" si="130"/>
        <v>14.07</v>
      </c>
      <c r="Q68" s="296"/>
      <c r="R68" s="296">
        <f t="shared" si="131"/>
        <v>603</v>
      </c>
      <c r="S68" s="296">
        <f>((SUM(E68:I68)+U68)*12+J68*7+W68)*2%</f>
        <v>1671.3600000000001</v>
      </c>
      <c r="T68" s="296">
        <f>((SUM(E68:I68)+U68)*12+J68*7+W68)*1.5%</f>
        <v>1253.52</v>
      </c>
      <c r="U68" s="305">
        <v>1200</v>
      </c>
      <c r="V68" s="296">
        <f>SUM(K68:R68)-L68+U68</f>
        <v>7087.0700000000015</v>
      </c>
      <c r="W68" s="305">
        <v>22500</v>
      </c>
      <c r="X68" s="296">
        <f>V68*12+W68+S68+T68-J68*5</f>
        <v>108969.72000000003</v>
      </c>
      <c r="Y68" s="309">
        <f t="shared" si="132"/>
        <v>401.92</v>
      </c>
      <c r="Z68" s="309">
        <f t="shared" si="133"/>
        <v>100.48</v>
      </c>
      <c r="AA68" s="309">
        <f t="shared" si="134"/>
        <v>25.12</v>
      </c>
      <c r="AB68" s="309">
        <f t="shared" si="135"/>
        <v>527.52</v>
      </c>
      <c r="AC68" s="309">
        <f t="shared" si="136"/>
        <v>401.92</v>
      </c>
      <c r="AD68" s="309">
        <f t="shared" si="137"/>
        <v>100.48</v>
      </c>
      <c r="AE68" s="309">
        <f t="shared" si="138"/>
        <v>25.12</v>
      </c>
      <c r="AF68" s="309">
        <f t="shared" si="139"/>
        <v>527.52</v>
      </c>
      <c r="AG68" s="309"/>
      <c r="AH68" s="309" t="s">
        <v>71</v>
      </c>
      <c r="AI68" s="322" t="s">
        <v>54</v>
      </c>
    </row>
    <row r="69" spans="1:35" ht="12.75">
      <c r="A69" s="269"/>
      <c r="B69" s="269"/>
      <c r="C69" s="269"/>
      <c r="D69" s="269"/>
      <c r="E69" s="277"/>
      <c r="F69" s="277"/>
      <c r="G69" s="277"/>
      <c r="H69" s="277"/>
      <c r="I69" s="277"/>
      <c r="J69" s="277"/>
      <c r="K69" s="296"/>
      <c r="L69" s="277"/>
      <c r="M69" s="296"/>
      <c r="N69" s="296"/>
      <c r="O69" s="296"/>
      <c r="P69" s="296"/>
      <c r="Q69" s="296"/>
      <c r="R69" s="296">
        <f t="shared" si="131"/>
        <v>0</v>
      </c>
      <c r="S69" s="296"/>
      <c r="T69" s="296">
        <f>((SUM(E69:I69)+U69)*9+J69*7+W69)*1.5%</f>
        <v>0</v>
      </c>
      <c r="U69" s="305"/>
      <c r="V69" s="296">
        <f>SUM(E69:I69)+SUM(M69:R69)+U69</f>
        <v>0</v>
      </c>
      <c r="W69" s="305"/>
      <c r="X69" s="296">
        <f>V69*9+W69+S69+T69+J69*7</f>
        <v>0</v>
      </c>
      <c r="Y69" s="309">
        <f t="shared" si="132"/>
        <v>0</v>
      </c>
      <c r="Z69" s="309">
        <f t="shared" si="133"/>
        <v>0</v>
      </c>
      <c r="AA69" s="309">
        <f t="shared" si="134"/>
        <v>0</v>
      </c>
      <c r="AB69" s="309">
        <f t="shared" si="135"/>
        <v>0</v>
      </c>
      <c r="AC69" s="309">
        <f t="shared" si="136"/>
        <v>290.05</v>
      </c>
      <c r="AD69" s="309">
        <f t="shared" si="137"/>
        <v>72.51</v>
      </c>
      <c r="AE69" s="309">
        <f t="shared" si="138"/>
        <v>18.13</v>
      </c>
      <c r="AF69" s="309">
        <f t="shared" si="139"/>
        <v>380.69</v>
      </c>
      <c r="AG69" s="309">
        <f aca="true" t="shared" si="141" ref="AG69:AG74">AF69-AB69</f>
        <v>380.69</v>
      </c>
      <c r="AH69" s="309" t="s">
        <v>89</v>
      </c>
      <c r="AI69" s="321"/>
    </row>
    <row r="70" spans="1:36" ht="13.5">
      <c r="A70" s="284" t="s">
        <v>121</v>
      </c>
      <c r="B70" s="285"/>
      <c r="C70" s="285"/>
      <c r="D70" s="286"/>
      <c r="E70" s="281">
        <f>SUM(E65:E69)</f>
        <v>17700</v>
      </c>
      <c r="F70" s="281">
        <f aca="true" t="shared" si="142" ref="F70:L70">SUM(F65:F69)</f>
        <v>600</v>
      </c>
      <c r="G70" s="281">
        <f t="shared" si="142"/>
        <v>300</v>
      </c>
      <c r="H70" s="281">
        <f t="shared" si="142"/>
        <v>700</v>
      </c>
      <c r="I70" s="281">
        <f t="shared" si="142"/>
        <v>1056</v>
      </c>
      <c r="J70" s="281">
        <f t="shared" si="142"/>
        <v>1200</v>
      </c>
      <c r="K70" s="297">
        <f t="shared" si="142"/>
        <v>21556</v>
      </c>
      <c r="L70" s="300"/>
      <c r="M70" s="299">
        <f>SUM(M65:M69)</f>
        <v>4190.4</v>
      </c>
      <c r="N70" s="299">
        <f aca="true" t="shared" si="143" ref="N70:X70">SUM(N65:N69)</f>
        <v>2226.16</v>
      </c>
      <c r="O70" s="299">
        <f t="shared" si="143"/>
        <v>130.96</v>
      </c>
      <c r="P70" s="299">
        <f t="shared" si="143"/>
        <v>73.34</v>
      </c>
      <c r="Q70" s="299">
        <f t="shared" si="143"/>
        <v>0</v>
      </c>
      <c r="R70" s="299">
        <f t="shared" si="143"/>
        <v>3144</v>
      </c>
      <c r="S70" s="299">
        <f t="shared" si="143"/>
        <v>8789.44</v>
      </c>
      <c r="T70" s="299">
        <f t="shared" si="143"/>
        <v>6592.08</v>
      </c>
      <c r="U70" s="307">
        <f t="shared" si="143"/>
        <v>5400</v>
      </c>
      <c r="V70" s="299">
        <f t="shared" si="143"/>
        <v>36720.86</v>
      </c>
      <c r="W70" s="307">
        <f t="shared" si="143"/>
        <v>122000</v>
      </c>
      <c r="X70" s="299">
        <f t="shared" si="143"/>
        <v>572031.8400000001</v>
      </c>
      <c r="Y70" s="315" t="e">
        <f>(#REF!+U70)*12+W70</f>
        <v>#REF!</v>
      </c>
      <c r="Z70" s="315"/>
      <c r="AA70" s="315"/>
      <c r="AB70" s="315"/>
      <c r="AC70" s="315"/>
      <c r="AD70" s="315"/>
      <c r="AE70" s="315"/>
      <c r="AF70" s="315"/>
      <c r="AG70" s="315">
        <f>SUM(AG65:AG67)</f>
        <v>0</v>
      </c>
      <c r="AH70" s="315"/>
      <c r="AI70" s="323"/>
      <c r="AJ70" s="263">
        <f>SUM(U65:U68)*12+U69*9+W70</f>
        <v>186800</v>
      </c>
    </row>
    <row r="71" spans="1:35" ht="12.75">
      <c r="A71" s="269">
        <v>50</v>
      </c>
      <c r="B71" s="269" t="s">
        <v>122</v>
      </c>
      <c r="C71" s="269" t="s">
        <v>123</v>
      </c>
      <c r="D71" s="269" t="s">
        <v>82</v>
      </c>
      <c r="E71" s="277">
        <v>5300</v>
      </c>
      <c r="F71" s="277">
        <v>310</v>
      </c>
      <c r="G71" s="277" t="s">
        <v>79</v>
      </c>
      <c r="H71" s="277">
        <v>250</v>
      </c>
      <c r="I71" s="277">
        <v>264</v>
      </c>
      <c r="J71" s="277">
        <v>300</v>
      </c>
      <c r="K71" s="296">
        <f>SUM(E71:J71)</f>
        <v>6424</v>
      </c>
      <c r="L71" s="277">
        <v>7739</v>
      </c>
      <c r="M71" s="296">
        <f aca="true" t="shared" si="144" ref="M71:M75">ROUND(IF(L71&gt;4660.7,L71,4660.7)*16%,2)</f>
        <v>1238.24</v>
      </c>
      <c r="N71" s="296">
        <f aca="true" t="shared" si="145" ref="N71:N75">ROUND(IF(L71&gt;4761.1,L71,4761.1)*8.5%,2)</f>
        <v>657.82</v>
      </c>
      <c r="O71" s="296">
        <f aca="true" t="shared" si="146" ref="O71:O75">ROUND(IF(L71&gt;4761.1,L71,4761.1)*0.5%,2)</f>
        <v>38.7</v>
      </c>
      <c r="P71" s="296">
        <f aca="true" t="shared" si="147" ref="P71:P75">ROUND(IF(L71&gt;4761.1,L71,4761.1)*0.28%,2)</f>
        <v>21.67</v>
      </c>
      <c r="Q71" s="296"/>
      <c r="R71" s="296">
        <f aca="true" t="shared" si="148" ref="R71:R75">CEILING(L71*12%,1)</f>
        <v>929</v>
      </c>
      <c r="S71" s="296">
        <f>((SUM(E71:I71)+U71)*12+J71*7+W71)*2%</f>
        <v>2621.76</v>
      </c>
      <c r="T71" s="296">
        <f>((SUM(E71:I71)+U71)*12+J71*7+W71)*1.5%</f>
        <v>1966.32</v>
      </c>
      <c r="U71" s="305">
        <v>1500</v>
      </c>
      <c r="V71" s="296">
        <f>SUM(K71:R71)-L71+U71</f>
        <v>10809.43</v>
      </c>
      <c r="W71" s="305">
        <v>37500</v>
      </c>
      <c r="X71" s="296">
        <f>V71*12+W71+S71+T71-J71*5</f>
        <v>170301.24000000002</v>
      </c>
      <c r="Y71" s="309">
        <f aca="true" t="shared" si="149" ref="Y71:Y74">ROUND(L71*8%,2)</f>
        <v>619.12</v>
      </c>
      <c r="Z71" s="309">
        <f aca="true" t="shared" si="150" ref="Z71:Z74">ROUND(L71*2%,2)</f>
        <v>154.78</v>
      </c>
      <c r="AA71" s="309">
        <f aca="true" t="shared" si="151" ref="AA71:AA74">ROUND(L71*0.5%,2)</f>
        <v>38.7</v>
      </c>
      <c r="AB71" s="309">
        <f aca="true" t="shared" si="152" ref="AB71:AB74">SUM(Y71:AA71)</f>
        <v>812.6</v>
      </c>
      <c r="AC71" s="309">
        <f aca="true" t="shared" si="153" ref="AC71:AC74">ROUND(IF(L71&gt;3453*105%,L71,3453*105%)*8%,2)</f>
        <v>619.12</v>
      </c>
      <c r="AD71" s="309">
        <f aca="true" t="shared" si="154" ref="AD71:AD74">ROUND(IF(L71&gt;3453*105%,L71,3453*105%)*2%,2)</f>
        <v>154.78</v>
      </c>
      <c r="AE71" s="309">
        <f aca="true" t="shared" si="155" ref="AE71:AE74">ROUND(IF(L71&gt;3453*105%,L71,3453*105%)*0.5%,2)</f>
        <v>38.7</v>
      </c>
      <c r="AF71" s="309">
        <f aca="true" t="shared" si="156" ref="AF71:AF74">SUM(AC71:AE71)</f>
        <v>812.6</v>
      </c>
      <c r="AG71" s="309">
        <f t="shared" si="141"/>
        <v>0</v>
      </c>
      <c r="AH71" s="309"/>
      <c r="AI71" s="322" t="s">
        <v>39</v>
      </c>
    </row>
    <row r="72" spans="1:35" ht="12.75">
      <c r="A72" s="269">
        <v>51</v>
      </c>
      <c r="B72" s="269" t="s">
        <v>122</v>
      </c>
      <c r="C72" s="269" t="s">
        <v>124</v>
      </c>
      <c r="D72" s="269" t="s">
        <v>84</v>
      </c>
      <c r="E72" s="277">
        <v>4600</v>
      </c>
      <c r="F72" s="277">
        <v>100</v>
      </c>
      <c r="G72" s="277"/>
      <c r="H72" s="277">
        <v>200</v>
      </c>
      <c r="I72" s="277">
        <v>264</v>
      </c>
      <c r="J72" s="277">
        <v>300</v>
      </c>
      <c r="K72" s="296">
        <f>SUM(E72:J72)</f>
        <v>5464</v>
      </c>
      <c r="L72" s="277">
        <v>6657</v>
      </c>
      <c r="M72" s="296">
        <f t="shared" si="144"/>
        <v>1065.12</v>
      </c>
      <c r="N72" s="296">
        <f t="shared" si="145"/>
        <v>565.85</v>
      </c>
      <c r="O72" s="296">
        <f t="shared" si="146"/>
        <v>33.29</v>
      </c>
      <c r="P72" s="296">
        <f t="shared" si="147"/>
        <v>18.64</v>
      </c>
      <c r="Q72" s="296"/>
      <c r="R72" s="296">
        <f t="shared" si="148"/>
        <v>799</v>
      </c>
      <c r="S72" s="296">
        <f>((SUM(E72:I72)+U72)*12+J72*7+W72)*2%</f>
        <v>2287.36</v>
      </c>
      <c r="T72" s="296">
        <f>((SUM(E72:I72)+U72)*12+J72*7+W72)*1.5%</f>
        <v>1715.52</v>
      </c>
      <c r="U72" s="305">
        <v>1400</v>
      </c>
      <c r="V72" s="296">
        <f>SUM(K72:R72)-L72+U72</f>
        <v>9345.9</v>
      </c>
      <c r="W72" s="305">
        <v>33500</v>
      </c>
      <c r="X72" s="296">
        <f>V72*12+W72+S72+T72-J72*5</f>
        <v>148153.67999999996</v>
      </c>
      <c r="Y72" s="309">
        <f t="shared" si="149"/>
        <v>532.56</v>
      </c>
      <c r="Z72" s="309">
        <f t="shared" si="150"/>
        <v>133.14</v>
      </c>
      <c r="AA72" s="309">
        <f t="shared" si="151"/>
        <v>33.29</v>
      </c>
      <c r="AB72" s="309">
        <f t="shared" si="152"/>
        <v>698.9899999999999</v>
      </c>
      <c r="AC72" s="309">
        <f t="shared" si="153"/>
        <v>532.56</v>
      </c>
      <c r="AD72" s="309">
        <f t="shared" si="154"/>
        <v>133.14</v>
      </c>
      <c r="AE72" s="309">
        <f t="shared" si="155"/>
        <v>33.29</v>
      </c>
      <c r="AF72" s="309">
        <f t="shared" si="156"/>
        <v>698.9899999999999</v>
      </c>
      <c r="AG72" s="309">
        <f t="shared" si="141"/>
        <v>0</v>
      </c>
      <c r="AH72" s="309"/>
      <c r="AI72" s="322" t="s">
        <v>39</v>
      </c>
    </row>
    <row r="73" spans="1:35" ht="12.75">
      <c r="A73" s="269">
        <v>52</v>
      </c>
      <c r="B73" s="269" t="s">
        <v>122</v>
      </c>
      <c r="C73" s="269" t="s">
        <v>125</v>
      </c>
      <c r="D73" s="269" t="s">
        <v>53</v>
      </c>
      <c r="E73" s="277">
        <v>3900</v>
      </c>
      <c r="F73" s="277">
        <v>50</v>
      </c>
      <c r="G73" s="277"/>
      <c r="H73" s="277">
        <v>150</v>
      </c>
      <c r="I73" s="277">
        <v>264</v>
      </c>
      <c r="J73" s="277">
        <v>300</v>
      </c>
      <c r="K73" s="296">
        <f>SUM(E73:J73)</f>
        <v>4664</v>
      </c>
      <c r="L73" s="277">
        <v>5775</v>
      </c>
      <c r="M73" s="296">
        <f t="shared" si="144"/>
        <v>924</v>
      </c>
      <c r="N73" s="296">
        <f t="shared" si="145"/>
        <v>490.88</v>
      </c>
      <c r="O73" s="296">
        <f t="shared" si="146"/>
        <v>28.88</v>
      </c>
      <c r="P73" s="296">
        <f t="shared" si="147"/>
        <v>16.17</v>
      </c>
      <c r="Q73" s="296"/>
      <c r="R73" s="296">
        <f t="shared" si="148"/>
        <v>693</v>
      </c>
      <c r="S73" s="296">
        <f>((SUM(E73:I73)+U73)*12+J73*7+W73)*2%</f>
        <v>1971.3600000000001</v>
      </c>
      <c r="T73" s="296">
        <f>((SUM(E73:I73)+U73)*12+J73*7+W73)*1.5%</f>
        <v>1478.52</v>
      </c>
      <c r="U73" s="305">
        <v>1300</v>
      </c>
      <c r="V73" s="296">
        <f aca="true" t="shared" si="157" ref="V73:V83">SUM(K73:R73)-L73+U73</f>
        <v>8116.9299999999985</v>
      </c>
      <c r="W73" s="305">
        <v>28500</v>
      </c>
      <c r="X73" s="296">
        <f aca="true" t="shared" si="158" ref="X73:X83">V73*12+W73+S73+T73-J73*5</f>
        <v>127853.03999999998</v>
      </c>
      <c r="Y73" s="309">
        <f t="shared" si="149"/>
        <v>462</v>
      </c>
      <c r="Z73" s="309">
        <f t="shared" si="150"/>
        <v>115.5</v>
      </c>
      <c r="AA73" s="309">
        <f t="shared" si="151"/>
        <v>28.88</v>
      </c>
      <c r="AB73" s="309">
        <f t="shared" si="152"/>
        <v>606.38</v>
      </c>
      <c r="AC73" s="309">
        <f t="shared" si="153"/>
        <v>462</v>
      </c>
      <c r="AD73" s="309">
        <f t="shared" si="154"/>
        <v>115.5</v>
      </c>
      <c r="AE73" s="309">
        <f t="shared" si="155"/>
        <v>28.88</v>
      </c>
      <c r="AF73" s="309">
        <f t="shared" si="156"/>
        <v>606.38</v>
      </c>
      <c r="AG73" s="309">
        <f t="shared" si="141"/>
        <v>0</v>
      </c>
      <c r="AH73" s="309"/>
      <c r="AI73" s="322" t="s">
        <v>54</v>
      </c>
    </row>
    <row r="74" spans="1:35" ht="12.75">
      <c r="A74" s="269">
        <v>53</v>
      </c>
      <c r="B74" s="269" t="s">
        <v>122</v>
      </c>
      <c r="C74" s="269" t="s">
        <v>126</v>
      </c>
      <c r="D74" s="269" t="s">
        <v>54</v>
      </c>
      <c r="E74" s="277">
        <v>3200</v>
      </c>
      <c r="F74" s="277">
        <v>80</v>
      </c>
      <c r="G74" s="277"/>
      <c r="H74" s="277">
        <v>100</v>
      </c>
      <c r="I74" s="277">
        <v>264</v>
      </c>
      <c r="J74" s="277">
        <v>300</v>
      </c>
      <c r="K74" s="296">
        <f>SUM(E74:J74)</f>
        <v>3944</v>
      </c>
      <c r="L74" s="277">
        <v>4969</v>
      </c>
      <c r="M74" s="296">
        <f t="shared" si="144"/>
        <v>795.04</v>
      </c>
      <c r="N74" s="296">
        <f t="shared" si="145"/>
        <v>422.37</v>
      </c>
      <c r="O74" s="296">
        <f t="shared" si="146"/>
        <v>24.85</v>
      </c>
      <c r="P74" s="296">
        <f t="shared" si="147"/>
        <v>13.91</v>
      </c>
      <c r="Q74" s="296"/>
      <c r="R74" s="296">
        <f t="shared" si="148"/>
        <v>597</v>
      </c>
      <c r="S74" s="296">
        <f>((SUM(E74:I74)+U74)*12+J74*7+W74)*2%</f>
        <v>1654.56</v>
      </c>
      <c r="T74" s="296">
        <f>((SUM(E74:I74)+U74)*12+J74*7+W74)*1.5%</f>
        <v>1240.9199999999998</v>
      </c>
      <c r="U74" s="305">
        <v>1200</v>
      </c>
      <c r="V74" s="296">
        <f t="shared" si="157"/>
        <v>6997.170000000002</v>
      </c>
      <c r="W74" s="305">
        <v>22500</v>
      </c>
      <c r="X74" s="296">
        <f t="shared" si="158"/>
        <v>107861.52000000002</v>
      </c>
      <c r="Y74" s="309">
        <f t="shared" si="149"/>
        <v>397.52</v>
      </c>
      <c r="Z74" s="309">
        <f t="shared" si="150"/>
        <v>99.38</v>
      </c>
      <c r="AA74" s="309">
        <f t="shared" si="151"/>
        <v>24.85</v>
      </c>
      <c r="AB74" s="309">
        <f t="shared" si="152"/>
        <v>521.75</v>
      </c>
      <c r="AC74" s="309">
        <f t="shared" si="153"/>
        <v>397.52</v>
      </c>
      <c r="AD74" s="309">
        <f t="shared" si="154"/>
        <v>99.38</v>
      </c>
      <c r="AE74" s="309">
        <f t="shared" si="155"/>
        <v>24.85</v>
      </c>
      <c r="AF74" s="309">
        <f t="shared" si="156"/>
        <v>521.75</v>
      </c>
      <c r="AG74" s="309">
        <f t="shared" si="141"/>
        <v>0</v>
      </c>
      <c r="AH74" s="309"/>
      <c r="AI74" s="322" t="s">
        <v>54</v>
      </c>
    </row>
    <row r="75" spans="1:35" ht="12.75">
      <c r="A75" s="269"/>
      <c r="B75" s="269"/>
      <c r="C75" s="269"/>
      <c r="D75" s="269"/>
      <c r="E75" s="277"/>
      <c r="F75" s="277"/>
      <c r="G75" s="277"/>
      <c r="H75" s="277"/>
      <c r="I75" s="277"/>
      <c r="J75" s="277"/>
      <c r="K75" s="296">
        <f>SUM(E75:J75)</f>
        <v>0</v>
      </c>
      <c r="L75" s="277"/>
      <c r="M75" s="296"/>
      <c r="N75" s="296"/>
      <c r="O75" s="296"/>
      <c r="P75" s="296"/>
      <c r="Q75" s="296"/>
      <c r="R75" s="296">
        <f t="shared" si="148"/>
        <v>0</v>
      </c>
      <c r="S75" s="296"/>
      <c r="T75" s="296"/>
      <c r="U75" s="305"/>
      <c r="V75" s="296">
        <f>SUM(E75:I75)+SUM(M75:R75)+U75</f>
        <v>0</v>
      </c>
      <c r="W75" s="305"/>
      <c r="X75" s="296">
        <f>V75*12+W75+S75+T75+J75*7</f>
        <v>0</v>
      </c>
      <c r="Y75" s="309"/>
      <c r="Z75" s="309"/>
      <c r="AA75" s="309"/>
      <c r="AB75" s="309"/>
      <c r="AC75" s="309"/>
      <c r="AD75" s="309"/>
      <c r="AE75" s="309"/>
      <c r="AF75" s="309"/>
      <c r="AG75" s="309"/>
      <c r="AH75" s="309" t="s">
        <v>108</v>
      </c>
      <c r="AI75" s="322"/>
    </row>
    <row r="76" spans="1:36" ht="13.5">
      <c r="A76" s="284" t="s">
        <v>127</v>
      </c>
      <c r="B76" s="285"/>
      <c r="C76" s="285"/>
      <c r="D76" s="286"/>
      <c r="E76" s="281">
        <f>SUM(E71:E75)</f>
        <v>17000</v>
      </c>
      <c r="F76" s="281">
        <f>SUM(F71:F75)</f>
        <v>540</v>
      </c>
      <c r="G76" s="281">
        <f>SUM(G71:G75)</f>
        <v>0</v>
      </c>
      <c r="H76" s="281">
        <f>SUM(H71:H75)</f>
        <v>700</v>
      </c>
      <c r="I76" s="281">
        <f>SUM(I71:I75)</f>
        <v>1056</v>
      </c>
      <c r="J76" s="281">
        <f>SUM(J71:J74)</f>
        <v>1200</v>
      </c>
      <c r="K76" s="297">
        <f>SUM(K71:K75)</f>
        <v>20496</v>
      </c>
      <c r="L76" s="300"/>
      <c r="M76" s="299">
        <f>SUM(M71:M75)</f>
        <v>4022.3999999999996</v>
      </c>
      <c r="N76" s="299">
        <f aca="true" t="shared" si="159" ref="N76:X76">SUM(N71:N75)</f>
        <v>2136.92</v>
      </c>
      <c r="O76" s="299">
        <f t="shared" si="159"/>
        <v>125.72</v>
      </c>
      <c r="P76" s="299">
        <f t="shared" si="159"/>
        <v>70.39</v>
      </c>
      <c r="Q76" s="299">
        <f t="shared" si="159"/>
        <v>0</v>
      </c>
      <c r="R76" s="299">
        <f t="shared" si="159"/>
        <v>3018</v>
      </c>
      <c r="S76" s="299">
        <f t="shared" si="159"/>
        <v>8535.04</v>
      </c>
      <c r="T76" s="299">
        <f t="shared" si="159"/>
        <v>6401.280000000001</v>
      </c>
      <c r="U76" s="299">
        <f t="shared" si="159"/>
        <v>5400</v>
      </c>
      <c r="V76" s="299">
        <f t="shared" si="159"/>
        <v>35269.43000000001</v>
      </c>
      <c r="W76" s="299">
        <f t="shared" si="159"/>
        <v>122000</v>
      </c>
      <c r="X76" s="299">
        <f t="shared" si="159"/>
        <v>554169.48</v>
      </c>
      <c r="Y76" s="315" t="e">
        <f>(#REF!+U76)*12+W76</f>
        <v>#REF!</v>
      </c>
      <c r="Z76" s="315"/>
      <c r="AA76" s="315"/>
      <c r="AB76" s="315"/>
      <c r="AC76" s="315"/>
      <c r="AD76" s="315"/>
      <c r="AE76" s="315"/>
      <c r="AF76" s="315"/>
      <c r="AG76" s="315">
        <f>SUM(AG71:AG74)</f>
        <v>0</v>
      </c>
      <c r="AH76" s="315"/>
      <c r="AI76" s="323"/>
      <c r="AJ76" s="263">
        <f>SUM(U71:U75)*12+W76</f>
        <v>186800</v>
      </c>
    </row>
    <row r="77" spans="1:35" ht="12.75">
      <c r="A77" s="284" t="s">
        <v>128</v>
      </c>
      <c r="B77" s="285"/>
      <c r="C77" s="285"/>
      <c r="D77" s="286"/>
      <c r="E77" s="281">
        <f>E70+E40+E57+E76+E64+E32+E26+E9+E18</f>
        <v>233365</v>
      </c>
      <c r="F77" s="281">
        <f aca="true" t="shared" si="160" ref="F77:L77">F70+F40+F57+F76+F64+F32+F26+F9+F18</f>
        <v>7080</v>
      </c>
      <c r="G77" s="281">
        <f t="shared" si="160"/>
        <v>2735</v>
      </c>
      <c r="H77" s="281">
        <f t="shared" si="160"/>
        <v>7750</v>
      </c>
      <c r="I77" s="281">
        <f t="shared" si="160"/>
        <v>13992</v>
      </c>
      <c r="J77" s="281">
        <f t="shared" si="160"/>
        <v>15000</v>
      </c>
      <c r="K77" s="281">
        <f t="shared" si="160"/>
        <v>279922</v>
      </c>
      <c r="L77" s="300"/>
      <c r="M77" s="299">
        <f aca="true" t="shared" si="161" ref="M77:X77">M70+M40+M57+M76+M64+M32+M26+M9+M18</f>
        <v>58351.009999999995</v>
      </c>
      <c r="N77" s="299">
        <f t="shared" si="161"/>
        <v>31058.789999999997</v>
      </c>
      <c r="O77" s="299">
        <f t="shared" si="161"/>
        <v>1827.11</v>
      </c>
      <c r="P77" s="299">
        <f t="shared" si="161"/>
        <v>1023.1000000000001</v>
      </c>
      <c r="Q77" s="299">
        <f t="shared" si="161"/>
        <v>0</v>
      </c>
      <c r="R77" s="299">
        <f t="shared" si="161"/>
        <v>42740</v>
      </c>
      <c r="S77" s="299">
        <f t="shared" si="161"/>
        <v>123858.796</v>
      </c>
      <c r="T77" s="299">
        <f t="shared" si="161"/>
        <v>92894.097</v>
      </c>
      <c r="U77" s="299">
        <f t="shared" si="161"/>
        <v>78109.65</v>
      </c>
      <c r="V77" s="299">
        <f t="shared" si="161"/>
        <v>493031.66000000003</v>
      </c>
      <c r="W77" s="299">
        <f t="shared" si="161"/>
        <v>1971560</v>
      </c>
      <c r="X77" s="299">
        <f t="shared" si="161"/>
        <v>8029692.813</v>
      </c>
      <c r="Y77" s="315"/>
      <c r="Z77" s="315"/>
      <c r="AA77" s="315"/>
      <c r="AB77" s="315"/>
      <c r="AC77" s="315"/>
      <c r="AD77" s="315"/>
      <c r="AE77" s="315"/>
      <c r="AF77" s="315"/>
      <c r="AG77" s="315"/>
      <c r="AH77" s="315"/>
      <c r="AI77" s="323"/>
    </row>
    <row r="78" spans="1:35" ht="12.75">
      <c r="A78" s="269">
        <v>1</v>
      </c>
      <c r="B78" s="269" t="s">
        <v>92</v>
      </c>
      <c r="C78" s="269" t="s">
        <v>129</v>
      </c>
      <c r="D78" s="269" t="s">
        <v>36</v>
      </c>
      <c r="E78" s="327">
        <v>6230</v>
      </c>
      <c r="F78" s="327">
        <v>160</v>
      </c>
      <c r="G78" s="327"/>
      <c r="H78" s="327">
        <v>250</v>
      </c>
      <c r="I78" s="327">
        <v>264</v>
      </c>
      <c r="J78" s="327">
        <v>300</v>
      </c>
      <c r="K78" s="296">
        <f aca="true" t="shared" si="162" ref="K78:K83">SUM(E78:J78)</f>
        <v>7204</v>
      </c>
      <c r="L78" s="327">
        <v>8402</v>
      </c>
      <c r="M78" s="296">
        <f aca="true" t="shared" si="163" ref="M78:M83">ROUND(IF(L78&gt;4660.7,L78,4660.7)*16%,2)</f>
        <v>1344.32</v>
      </c>
      <c r="N78" s="296">
        <f aca="true" t="shared" si="164" ref="N78:N83">ROUND(IF(L78&gt;4761.1,L78,4761.1)*8.5%,2)</f>
        <v>714.17</v>
      </c>
      <c r="O78" s="296">
        <f aca="true" t="shared" si="165" ref="O78:O83">ROUND(IF(L78&gt;4761.1,L78,4761.1)*0.5%,2)</f>
        <v>42.01</v>
      </c>
      <c r="P78" s="296">
        <f aca="true" t="shared" si="166" ref="P78:P83">ROUND(IF(L78&gt;4761.1,L78,4761.1)*0.28%,2)</f>
        <v>23.53</v>
      </c>
      <c r="Q78" s="296"/>
      <c r="R78" s="296">
        <f aca="true" t="shared" si="167" ref="R78:R91">CEILING(L78*12%,1)</f>
        <v>1009</v>
      </c>
      <c r="S78" s="296">
        <f aca="true" t="shared" si="168" ref="S78:S83">((SUM(E78:I78)+U78)*12+J78*7+W78)*2%</f>
        <v>2778.96</v>
      </c>
      <c r="T78" s="296">
        <f aca="true" t="shared" si="169" ref="T78:T83">((SUM(E78:I78)+U78)*12+J78*7+W78)*1.5%</f>
        <v>2084.22</v>
      </c>
      <c r="U78" s="339"/>
      <c r="V78" s="296">
        <f t="shared" si="157"/>
        <v>10337.029999999995</v>
      </c>
      <c r="W78" s="339">
        <v>54000</v>
      </c>
      <c r="X78" s="296">
        <f t="shared" si="158"/>
        <v>181407.53999999992</v>
      </c>
      <c r="Y78" s="309">
        <f aca="true" t="shared" si="170" ref="Y78:Y83">ROUND(L78*8%,2)</f>
        <v>672.16</v>
      </c>
      <c r="Z78" s="309">
        <f aca="true" t="shared" si="171" ref="Z78:Z83">ROUND(L78*2%,2)</f>
        <v>168.04</v>
      </c>
      <c r="AA78" s="309">
        <f aca="true" t="shared" si="172" ref="AA78:AA83">ROUND(L78*0.5%,2)</f>
        <v>42.01</v>
      </c>
      <c r="AB78" s="309">
        <f aca="true" t="shared" si="173" ref="AB78:AB83">SUM(Y78:AA78)</f>
        <v>882.2099999999999</v>
      </c>
      <c r="AC78" s="309">
        <f aca="true" t="shared" si="174" ref="AC78:AC83">ROUND(IF(L78&gt;3453*105%,L78,3453*105%)*8%,2)</f>
        <v>672.16</v>
      </c>
      <c r="AD78" s="309">
        <f aca="true" t="shared" si="175" ref="AD78:AD83">ROUND(IF(L78&gt;3453*105%,L78,3453*105%)*2%,2)</f>
        <v>168.04</v>
      </c>
      <c r="AE78" s="309">
        <f aca="true" t="shared" si="176" ref="AE78:AE83">ROUND(IF(L78&gt;3453*105%,L78,3453*105%)*0.5%,2)</f>
        <v>42.01</v>
      </c>
      <c r="AF78" s="309">
        <f aca="true" t="shared" si="177" ref="AF78:AF83">SUM(AC78:AE78)</f>
        <v>882.2099999999999</v>
      </c>
      <c r="AG78" s="309">
        <f aca="true" t="shared" si="178" ref="AG78:AG83">AF78-AB78</f>
        <v>0</v>
      </c>
      <c r="AH78" s="309"/>
      <c r="AI78" s="322" t="s">
        <v>39</v>
      </c>
    </row>
    <row r="79" spans="1:35" ht="12.75">
      <c r="A79" s="269">
        <v>2</v>
      </c>
      <c r="B79" s="269" t="s">
        <v>49</v>
      </c>
      <c r="C79" s="269" t="s">
        <v>130</v>
      </c>
      <c r="D79" s="269" t="s">
        <v>131</v>
      </c>
      <c r="E79" s="327">
        <v>6230</v>
      </c>
      <c r="F79" s="327">
        <v>140</v>
      </c>
      <c r="G79" s="327"/>
      <c r="H79" s="327">
        <v>250</v>
      </c>
      <c r="I79" s="327">
        <v>264</v>
      </c>
      <c r="J79" s="327">
        <v>300</v>
      </c>
      <c r="K79" s="296">
        <f t="shared" si="162"/>
        <v>7184</v>
      </c>
      <c r="L79" s="327">
        <v>8382</v>
      </c>
      <c r="M79" s="296">
        <f t="shared" si="163"/>
        <v>1341.12</v>
      </c>
      <c r="N79" s="296">
        <f t="shared" si="164"/>
        <v>712.47</v>
      </c>
      <c r="O79" s="296">
        <f t="shared" si="165"/>
        <v>41.91</v>
      </c>
      <c r="P79" s="296">
        <f t="shared" si="166"/>
        <v>23.47</v>
      </c>
      <c r="Q79" s="296"/>
      <c r="R79" s="296">
        <f t="shared" si="167"/>
        <v>1006</v>
      </c>
      <c r="S79" s="296">
        <f t="shared" si="168"/>
        <v>2774.16</v>
      </c>
      <c r="T79" s="296">
        <f t="shared" si="169"/>
        <v>2080.62</v>
      </c>
      <c r="U79" s="339"/>
      <c r="V79" s="296">
        <f t="shared" si="157"/>
        <v>10308.970000000001</v>
      </c>
      <c r="W79" s="339">
        <v>54000</v>
      </c>
      <c r="X79" s="296">
        <f t="shared" si="158"/>
        <v>181062.42</v>
      </c>
      <c r="Y79" s="309">
        <f t="shared" si="170"/>
        <v>670.56</v>
      </c>
      <c r="Z79" s="309">
        <f t="shared" si="171"/>
        <v>167.64</v>
      </c>
      <c r="AA79" s="309">
        <f t="shared" si="172"/>
        <v>41.91</v>
      </c>
      <c r="AB79" s="309">
        <f t="shared" si="173"/>
        <v>880.1099999999999</v>
      </c>
      <c r="AC79" s="309">
        <f t="shared" si="174"/>
        <v>670.56</v>
      </c>
      <c r="AD79" s="309">
        <f t="shared" si="175"/>
        <v>167.64</v>
      </c>
      <c r="AE79" s="309">
        <f t="shared" si="176"/>
        <v>41.91</v>
      </c>
      <c r="AF79" s="309">
        <f t="shared" si="177"/>
        <v>880.1099999999999</v>
      </c>
      <c r="AG79" s="309">
        <f t="shared" si="178"/>
        <v>0</v>
      </c>
      <c r="AH79" s="309"/>
      <c r="AI79" s="322" t="s">
        <v>39</v>
      </c>
    </row>
    <row r="80" spans="1:36" ht="13.5">
      <c r="A80" s="269">
        <v>3</v>
      </c>
      <c r="B80" s="269"/>
      <c r="C80" s="269" t="s">
        <v>132</v>
      </c>
      <c r="D80" s="269" t="s">
        <v>133</v>
      </c>
      <c r="E80" s="327">
        <v>5300</v>
      </c>
      <c r="F80" s="327">
        <v>120</v>
      </c>
      <c r="G80" s="327"/>
      <c r="H80" s="327">
        <v>230</v>
      </c>
      <c r="I80" s="327">
        <v>264</v>
      </c>
      <c r="J80" s="327">
        <v>300</v>
      </c>
      <c r="K80" s="296">
        <f t="shared" si="162"/>
        <v>6214</v>
      </c>
      <c r="L80" s="327">
        <v>6964</v>
      </c>
      <c r="M80" s="296">
        <f t="shared" si="163"/>
        <v>1114.24</v>
      </c>
      <c r="N80" s="296">
        <f t="shared" si="164"/>
        <v>591.94</v>
      </c>
      <c r="O80" s="296">
        <f t="shared" si="165"/>
        <v>34.82</v>
      </c>
      <c r="P80" s="296">
        <f t="shared" si="166"/>
        <v>19.5</v>
      </c>
      <c r="Q80" s="296"/>
      <c r="R80" s="296">
        <f t="shared" si="167"/>
        <v>836</v>
      </c>
      <c r="S80" s="296">
        <f t="shared" si="168"/>
        <v>2467.36</v>
      </c>
      <c r="T80" s="296">
        <f t="shared" si="169"/>
        <v>1850.52</v>
      </c>
      <c r="U80" s="339"/>
      <c r="V80" s="296">
        <f t="shared" si="157"/>
        <v>8810.5</v>
      </c>
      <c r="W80" s="339">
        <v>50300</v>
      </c>
      <c r="X80" s="296">
        <f t="shared" si="158"/>
        <v>158843.87999999998</v>
      </c>
      <c r="Y80" s="309">
        <f t="shared" si="170"/>
        <v>557.12</v>
      </c>
      <c r="Z80" s="309">
        <f t="shared" si="171"/>
        <v>139.28</v>
      </c>
      <c r="AA80" s="309">
        <f t="shared" si="172"/>
        <v>34.82</v>
      </c>
      <c r="AB80" s="309">
        <f t="shared" si="173"/>
        <v>731.22</v>
      </c>
      <c r="AC80" s="309">
        <f t="shared" si="174"/>
        <v>557.12</v>
      </c>
      <c r="AD80" s="309">
        <f t="shared" si="175"/>
        <v>139.28</v>
      </c>
      <c r="AE80" s="309">
        <f t="shared" si="176"/>
        <v>34.82</v>
      </c>
      <c r="AF80" s="309">
        <f t="shared" si="177"/>
        <v>731.22</v>
      </c>
      <c r="AG80" s="309">
        <f t="shared" si="178"/>
        <v>0</v>
      </c>
      <c r="AH80" s="309"/>
      <c r="AI80" s="322" t="s">
        <v>39</v>
      </c>
      <c r="AJ80" s="263">
        <f>_xlfn.SUMIFS(E:E,AI:AI,"中层",AI:AI,"预中层")</f>
        <v>0</v>
      </c>
    </row>
    <row r="81" spans="1:35" ht="12.75">
      <c r="A81" s="269">
        <v>4</v>
      </c>
      <c r="B81" s="269" t="s">
        <v>92</v>
      </c>
      <c r="C81" s="269" t="s">
        <v>134</v>
      </c>
      <c r="D81" s="269" t="s">
        <v>135</v>
      </c>
      <c r="E81" s="327">
        <f>3800</f>
        <v>3800</v>
      </c>
      <c r="F81" s="327">
        <v>50</v>
      </c>
      <c r="G81" s="327"/>
      <c r="H81" s="327">
        <v>210</v>
      </c>
      <c r="I81" s="327">
        <v>264</v>
      </c>
      <c r="J81" s="327">
        <v>300</v>
      </c>
      <c r="K81" s="296">
        <f t="shared" si="162"/>
        <v>4624</v>
      </c>
      <c r="L81" s="327">
        <v>5554</v>
      </c>
      <c r="M81" s="296">
        <f t="shared" si="163"/>
        <v>888.64</v>
      </c>
      <c r="N81" s="296">
        <f t="shared" si="164"/>
        <v>472.09</v>
      </c>
      <c r="O81" s="296">
        <f t="shared" si="165"/>
        <v>27.77</v>
      </c>
      <c r="P81" s="296">
        <f t="shared" si="166"/>
        <v>15.55</v>
      </c>
      <c r="Q81" s="296"/>
      <c r="R81" s="296">
        <f t="shared" si="167"/>
        <v>667</v>
      </c>
      <c r="S81" s="296">
        <f t="shared" si="168"/>
        <v>1803.76</v>
      </c>
      <c r="T81" s="296">
        <f t="shared" si="169"/>
        <v>1352.82</v>
      </c>
      <c r="U81" s="339">
        <v>1100</v>
      </c>
      <c r="V81" s="296">
        <f t="shared" si="157"/>
        <v>7795.049999999999</v>
      </c>
      <c r="W81" s="339">
        <v>23000</v>
      </c>
      <c r="X81" s="296">
        <f t="shared" si="158"/>
        <v>118197.18</v>
      </c>
      <c r="Y81" s="309">
        <f t="shared" si="170"/>
        <v>444.32</v>
      </c>
      <c r="Z81" s="309">
        <f t="shared" si="171"/>
        <v>111.08</v>
      </c>
      <c r="AA81" s="309">
        <f t="shared" si="172"/>
        <v>27.77</v>
      </c>
      <c r="AB81" s="309">
        <f t="shared" si="173"/>
        <v>583.17</v>
      </c>
      <c r="AC81" s="309">
        <f t="shared" si="174"/>
        <v>444.32</v>
      </c>
      <c r="AD81" s="309">
        <f t="shared" si="175"/>
        <v>111.08</v>
      </c>
      <c r="AE81" s="309">
        <f t="shared" si="176"/>
        <v>27.77</v>
      </c>
      <c r="AF81" s="309">
        <f t="shared" si="177"/>
        <v>583.17</v>
      </c>
      <c r="AG81" s="309">
        <f t="shared" si="178"/>
        <v>0</v>
      </c>
      <c r="AH81" s="309"/>
      <c r="AI81" s="322" t="s">
        <v>54</v>
      </c>
    </row>
    <row r="82" spans="1:35" ht="12.75">
      <c r="A82" s="269">
        <v>5</v>
      </c>
      <c r="B82" s="269" t="s">
        <v>92</v>
      </c>
      <c r="C82" s="269" t="s">
        <v>59</v>
      </c>
      <c r="D82" s="269" t="s">
        <v>54</v>
      </c>
      <c r="E82" s="327">
        <f>3000</f>
        <v>3000</v>
      </c>
      <c r="F82" s="327">
        <v>40</v>
      </c>
      <c r="G82" s="327"/>
      <c r="H82" s="327">
        <v>150</v>
      </c>
      <c r="I82" s="327">
        <v>264</v>
      </c>
      <c r="J82" s="327">
        <v>300</v>
      </c>
      <c r="K82" s="296">
        <f t="shared" si="162"/>
        <v>3754</v>
      </c>
      <c r="L82" s="327">
        <v>4394</v>
      </c>
      <c r="M82" s="296">
        <f t="shared" si="163"/>
        <v>745.71</v>
      </c>
      <c r="N82" s="296">
        <f t="shared" si="164"/>
        <v>404.69</v>
      </c>
      <c r="O82" s="296">
        <f t="shared" si="165"/>
        <v>23.81</v>
      </c>
      <c r="P82" s="296">
        <f t="shared" si="166"/>
        <v>13.33</v>
      </c>
      <c r="Q82" s="296"/>
      <c r="R82" s="296">
        <f t="shared" si="167"/>
        <v>528</v>
      </c>
      <c r="S82" s="296">
        <f t="shared" si="168"/>
        <v>1342.96</v>
      </c>
      <c r="T82" s="296">
        <f t="shared" si="169"/>
        <v>1007.2199999999999</v>
      </c>
      <c r="U82" s="339">
        <v>800</v>
      </c>
      <c r="V82" s="296">
        <f t="shared" si="157"/>
        <v>6269.539999999999</v>
      </c>
      <c r="W82" s="339">
        <v>14000</v>
      </c>
      <c r="X82" s="296">
        <f t="shared" si="158"/>
        <v>90084.65999999999</v>
      </c>
      <c r="Y82" s="309">
        <f t="shared" si="170"/>
        <v>351.52</v>
      </c>
      <c r="Z82" s="309">
        <f t="shared" si="171"/>
        <v>87.88</v>
      </c>
      <c r="AA82" s="309">
        <f t="shared" si="172"/>
        <v>21.97</v>
      </c>
      <c r="AB82" s="309">
        <f t="shared" si="173"/>
        <v>461.37</v>
      </c>
      <c r="AC82" s="309">
        <f t="shared" si="174"/>
        <v>351.52</v>
      </c>
      <c r="AD82" s="309">
        <f t="shared" si="175"/>
        <v>87.88</v>
      </c>
      <c r="AE82" s="309">
        <f t="shared" si="176"/>
        <v>21.97</v>
      </c>
      <c r="AF82" s="309">
        <f t="shared" si="177"/>
        <v>461.37</v>
      </c>
      <c r="AG82" s="309">
        <f t="shared" si="178"/>
        <v>0</v>
      </c>
      <c r="AH82" s="309"/>
      <c r="AI82" s="322" t="s">
        <v>54</v>
      </c>
    </row>
    <row r="83" spans="1:35" ht="12.75">
      <c r="A83" s="269">
        <v>6</v>
      </c>
      <c r="B83" s="269" t="s">
        <v>49</v>
      </c>
      <c r="C83" s="269" t="s">
        <v>136</v>
      </c>
      <c r="D83" s="269" t="s">
        <v>54</v>
      </c>
      <c r="E83" s="327">
        <f>3000</f>
        <v>3000</v>
      </c>
      <c r="F83" s="327">
        <v>20</v>
      </c>
      <c r="G83" s="327"/>
      <c r="H83" s="327">
        <v>150</v>
      </c>
      <c r="I83" s="327">
        <v>264</v>
      </c>
      <c r="J83" s="327">
        <v>300</v>
      </c>
      <c r="K83" s="296">
        <f t="shared" si="162"/>
        <v>3734</v>
      </c>
      <c r="L83" s="327">
        <v>4374</v>
      </c>
      <c r="M83" s="296">
        <f t="shared" si="163"/>
        <v>745.71</v>
      </c>
      <c r="N83" s="296">
        <f t="shared" si="164"/>
        <v>404.69</v>
      </c>
      <c r="O83" s="296">
        <f t="shared" si="165"/>
        <v>23.81</v>
      </c>
      <c r="P83" s="296">
        <f t="shared" si="166"/>
        <v>13.33</v>
      </c>
      <c r="Q83" s="296"/>
      <c r="R83" s="296">
        <f t="shared" si="167"/>
        <v>525</v>
      </c>
      <c r="S83" s="296">
        <f t="shared" si="168"/>
        <v>1338.16</v>
      </c>
      <c r="T83" s="296">
        <f t="shared" si="169"/>
        <v>1003.62</v>
      </c>
      <c r="U83" s="339">
        <v>800</v>
      </c>
      <c r="V83" s="296">
        <f t="shared" si="157"/>
        <v>6246.539999999999</v>
      </c>
      <c r="W83" s="339">
        <v>14000</v>
      </c>
      <c r="X83" s="296">
        <f t="shared" si="158"/>
        <v>89800.25999999998</v>
      </c>
      <c r="Y83" s="309">
        <f t="shared" si="170"/>
        <v>349.92</v>
      </c>
      <c r="Z83" s="309">
        <f t="shared" si="171"/>
        <v>87.48</v>
      </c>
      <c r="AA83" s="309">
        <f t="shared" si="172"/>
        <v>21.87</v>
      </c>
      <c r="AB83" s="309">
        <f t="shared" si="173"/>
        <v>459.27000000000004</v>
      </c>
      <c r="AC83" s="309">
        <f t="shared" si="174"/>
        <v>349.92</v>
      </c>
      <c r="AD83" s="309">
        <f t="shared" si="175"/>
        <v>87.48</v>
      </c>
      <c r="AE83" s="309">
        <f t="shared" si="176"/>
        <v>21.87</v>
      </c>
      <c r="AF83" s="309">
        <f t="shared" si="177"/>
        <v>459.27000000000004</v>
      </c>
      <c r="AG83" s="309">
        <f t="shared" si="178"/>
        <v>0</v>
      </c>
      <c r="AH83" s="317"/>
      <c r="AI83" s="322" t="s">
        <v>54</v>
      </c>
    </row>
    <row r="84" spans="1:35" ht="12.75">
      <c r="A84" s="269">
        <v>7</v>
      </c>
      <c r="B84" s="269"/>
      <c r="C84" s="269" t="s">
        <v>137</v>
      </c>
      <c r="D84" s="269" t="s">
        <v>54</v>
      </c>
      <c r="E84" s="327">
        <f>3000</f>
        <v>3000</v>
      </c>
      <c r="F84" s="327">
        <v>90</v>
      </c>
      <c r="G84" s="327"/>
      <c r="H84" s="327">
        <v>150</v>
      </c>
      <c r="I84" s="327">
        <v>264</v>
      </c>
      <c r="J84" s="327">
        <v>300</v>
      </c>
      <c r="K84" s="296">
        <f aca="true" t="shared" si="179" ref="K81:K92">SUM(E84:J84)</f>
        <v>3804</v>
      </c>
      <c r="L84" s="327">
        <v>4444</v>
      </c>
      <c r="M84" s="296">
        <f aca="true" t="shared" si="180" ref="M81:M89">ROUND(IF(L84&gt;4660.7,L84,4660.7)*16%,2)</f>
        <v>745.71</v>
      </c>
      <c r="N84" s="296">
        <f aca="true" t="shared" si="181" ref="N81:N89">ROUND(IF(L84&gt;4761.1,L84,4761.1)*8.5%,2)</f>
        <v>404.69</v>
      </c>
      <c r="O84" s="296">
        <f aca="true" t="shared" si="182" ref="O81:O89">ROUND(IF(L84&gt;4761.1,L84,4761.1)*0.5%,2)</f>
        <v>23.81</v>
      </c>
      <c r="P84" s="296">
        <f aca="true" t="shared" si="183" ref="P81:P89">ROUND(IF(L84&gt;4761.1,L84,4761.1)*0.28%,2)</f>
        <v>13.33</v>
      </c>
      <c r="Q84" s="296"/>
      <c r="R84" s="296">
        <f t="shared" si="167"/>
        <v>534</v>
      </c>
      <c r="S84" s="296">
        <f aca="true" t="shared" si="184" ref="S81:S92">((SUM(E84:I84)+U84)*12+J84*7+W84)*2%</f>
        <v>1354.96</v>
      </c>
      <c r="T84" s="296">
        <f aca="true" t="shared" si="185" ref="T81:T92">((SUM(E84:I84)+U84)*12+J84*7+W84)*1.5%</f>
        <v>1016.2199999999999</v>
      </c>
      <c r="U84" s="339">
        <v>800</v>
      </c>
      <c r="V84" s="296">
        <f aca="true" t="shared" si="186" ref="V81:V92">SUM(K84:R84)-L84+U84</f>
        <v>6325.539999999999</v>
      </c>
      <c r="W84" s="339">
        <v>14000</v>
      </c>
      <c r="X84" s="296">
        <f aca="true" t="shared" si="187" ref="X81:X92">V84*12+W84+S84+T84-J84*5</f>
        <v>90777.65999999999</v>
      </c>
      <c r="Y84" s="309"/>
      <c r="Z84" s="309"/>
      <c r="AA84" s="309"/>
      <c r="AB84" s="309"/>
      <c r="AC84" s="309"/>
      <c r="AD84" s="309"/>
      <c r="AE84" s="309"/>
      <c r="AF84" s="309"/>
      <c r="AG84" s="309"/>
      <c r="AH84" s="309"/>
      <c r="AI84" s="322" t="s">
        <v>54</v>
      </c>
    </row>
    <row r="85" spans="1:35" ht="12.75">
      <c r="A85" s="269">
        <v>8</v>
      </c>
      <c r="B85" s="269"/>
      <c r="C85" s="269" t="s">
        <v>138</v>
      </c>
      <c r="D85" s="269" t="s">
        <v>53</v>
      </c>
      <c r="E85" s="327">
        <f aca="true" t="shared" si="188" ref="E85:E87">3540</f>
        <v>3540</v>
      </c>
      <c r="F85" s="327">
        <v>30</v>
      </c>
      <c r="G85" s="327">
        <v>100</v>
      </c>
      <c r="H85" s="327">
        <v>210</v>
      </c>
      <c r="I85" s="327">
        <v>264</v>
      </c>
      <c r="J85" s="327">
        <v>300</v>
      </c>
      <c r="K85" s="296">
        <f t="shared" si="179"/>
        <v>4444</v>
      </c>
      <c r="L85" s="327">
        <v>5316</v>
      </c>
      <c r="M85" s="296">
        <f t="shared" si="180"/>
        <v>850.56</v>
      </c>
      <c r="N85" s="296">
        <f t="shared" si="181"/>
        <v>451.86</v>
      </c>
      <c r="O85" s="296">
        <f t="shared" si="182"/>
        <v>26.58</v>
      </c>
      <c r="P85" s="296">
        <f t="shared" si="183"/>
        <v>14.88</v>
      </c>
      <c r="Q85" s="296"/>
      <c r="R85" s="296">
        <f t="shared" si="167"/>
        <v>638</v>
      </c>
      <c r="S85" s="296">
        <f t="shared" si="184"/>
        <v>1760.56</v>
      </c>
      <c r="T85" s="296">
        <f t="shared" si="185"/>
        <v>1320.4199999999998</v>
      </c>
      <c r="U85" s="339">
        <v>1100</v>
      </c>
      <c r="V85" s="296">
        <f t="shared" si="186"/>
        <v>7525.879999999999</v>
      </c>
      <c r="W85" s="339">
        <v>23000</v>
      </c>
      <c r="X85" s="296">
        <f t="shared" si="187"/>
        <v>114891.54</v>
      </c>
      <c r="Y85" s="309"/>
      <c r="Z85" s="309"/>
      <c r="AA85" s="309"/>
      <c r="AB85" s="309"/>
      <c r="AC85" s="309"/>
      <c r="AD85" s="309"/>
      <c r="AE85" s="309"/>
      <c r="AF85" s="309"/>
      <c r="AG85" s="309"/>
      <c r="AH85" s="309"/>
      <c r="AI85" s="322" t="s">
        <v>54</v>
      </c>
    </row>
    <row r="86" spans="1:35" ht="12.75">
      <c r="A86" s="269">
        <v>9</v>
      </c>
      <c r="B86" s="269"/>
      <c r="C86" s="269" t="s">
        <v>139</v>
      </c>
      <c r="D86" s="269" t="s">
        <v>53</v>
      </c>
      <c r="E86" s="327">
        <f t="shared" si="188"/>
        <v>3540</v>
      </c>
      <c r="F86" s="327">
        <v>210</v>
      </c>
      <c r="G86" s="327"/>
      <c r="H86" s="327">
        <v>170</v>
      </c>
      <c r="I86" s="327">
        <v>264</v>
      </c>
      <c r="J86" s="327">
        <v>300</v>
      </c>
      <c r="K86" s="296">
        <f t="shared" si="179"/>
        <v>4484</v>
      </c>
      <c r="L86" s="327">
        <v>5221</v>
      </c>
      <c r="M86" s="296">
        <f t="shared" si="180"/>
        <v>835.36</v>
      </c>
      <c r="N86" s="296">
        <f t="shared" si="181"/>
        <v>443.79</v>
      </c>
      <c r="O86" s="296">
        <f t="shared" si="182"/>
        <v>26.11</v>
      </c>
      <c r="P86" s="296">
        <f t="shared" si="183"/>
        <v>14.62</v>
      </c>
      <c r="Q86" s="296"/>
      <c r="R86" s="296">
        <f t="shared" si="167"/>
        <v>627</v>
      </c>
      <c r="S86" s="296">
        <f t="shared" si="184"/>
        <v>1582.16</v>
      </c>
      <c r="T86" s="296">
        <f t="shared" si="185"/>
        <v>1186.62</v>
      </c>
      <c r="U86" s="339">
        <v>900</v>
      </c>
      <c r="V86" s="296">
        <f t="shared" si="186"/>
        <v>7330.880000000003</v>
      </c>
      <c r="W86" s="339">
        <v>16000</v>
      </c>
      <c r="X86" s="296">
        <f t="shared" si="187"/>
        <v>105239.34000000003</v>
      </c>
      <c r="Y86" s="309"/>
      <c r="Z86" s="309"/>
      <c r="AA86" s="309"/>
      <c r="AB86" s="309"/>
      <c r="AC86" s="309"/>
      <c r="AD86" s="309"/>
      <c r="AE86" s="309"/>
      <c r="AF86" s="309"/>
      <c r="AG86" s="309"/>
      <c r="AH86" s="309"/>
      <c r="AI86" s="322" t="s">
        <v>54</v>
      </c>
    </row>
    <row r="87" spans="1:35" ht="12.75">
      <c r="A87" s="269">
        <v>10</v>
      </c>
      <c r="B87" s="269"/>
      <c r="C87" s="269" t="s">
        <v>140</v>
      </c>
      <c r="D87" s="269" t="s">
        <v>53</v>
      </c>
      <c r="E87" s="327">
        <f t="shared" si="188"/>
        <v>3540</v>
      </c>
      <c r="F87" s="327">
        <v>200</v>
      </c>
      <c r="G87" s="327"/>
      <c r="H87" s="327">
        <v>170</v>
      </c>
      <c r="I87" s="327">
        <v>264</v>
      </c>
      <c r="J87" s="327">
        <v>300</v>
      </c>
      <c r="K87" s="296">
        <f t="shared" si="179"/>
        <v>4474</v>
      </c>
      <c r="L87" s="327">
        <v>5211</v>
      </c>
      <c r="M87" s="296">
        <f t="shared" si="180"/>
        <v>833.76</v>
      </c>
      <c r="N87" s="296">
        <f t="shared" si="181"/>
        <v>442.94</v>
      </c>
      <c r="O87" s="296">
        <f t="shared" si="182"/>
        <v>26.06</v>
      </c>
      <c r="P87" s="296">
        <f t="shared" si="183"/>
        <v>14.59</v>
      </c>
      <c r="Q87" s="296"/>
      <c r="R87" s="296">
        <f t="shared" si="167"/>
        <v>626</v>
      </c>
      <c r="S87" s="296">
        <f t="shared" si="184"/>
        <v>1579.76</v>
      </c>
      <c r="T87" s="296">
        <f t="shared" si="185"/>
        <v>1184.82</v>
      </c>
      <c r="U87" s="339">
        <v>900</v>
      </c>
      <c r="V87" s="296">
        <f t="shared" si="186"/>
        <v>7317.35</v>
      </c>
      <c r="W87" s="339">
        <v>16000</v>
      </c>
      <c r="X87" s="296">
        <f t="shared" si="187"/>
        <v>105072.78000000001</v>
      </c>
      <c r="Y87" s="309"/>
      <c r="Z87" s="309"/>
      <c r="AA87" s="309"/>
      <c r="AB87" s="309"/>
      <c r="AC87" s="309"/>
      <c r="AD87" s="309"/>
      <c r="AE87" s="309"/>
      <c r="AF87" s="309"/>
      <c r="AG87" s="309"/>
      <c r="AH87" s="309"/>
      <c r="AI87" s="322" t="s">
        <v>54</v>
      </c>
    </row>
    <row r="88" spans="1:35" ht="12.75">
      <c r="A88" s="269">
        <v>11</v>
      </c>
      <c r="B88" s="269"/>
      <c r="C88" s="269" t="s">
        <v>141</v>
      </c>
      <c r="D88" s="269" t="s">
        <v>54</v>
      </c>
      <c r="E88" s="327">
        <f>3000</f>
        <v>3000</v>
      </c>
      <c r="F88" s="327">
        <v>30</v>
      </c>
      <c r="G88" s="327">
        <v>100</v>
      </c>
      <c r="H88" s="327">
        <v>150</v>
      </c>
      <c r="I88" s="327">
        <v>264</v>
      </c>
      <c r="J88" s="327">
        <v>300</v>
      </c>
      <c r="K88" s="296">
        <f t="shared" si="179"/>
        <v>3844</v>
      </c>
      <c r="L88" s="327">
        <v>4409</v>
      </c>
      <c r="M88" s="296">
        <f t="shared" si="180"/>
        <v>745.71</v>
      </c>
      <c r="N88" s="296">
        <f t="shared" si="181"/>
        <v>404.69</v>
      </c>
      <c r="O88" s="296">
        <f t="shared" si="182"/>
        <v>23.81</v>
      </c>
      <c r="P88" s="296">
        <f t="shared" si="183"/>
        <v>13.33</v>
      </c>
      <c r="Q88" s="296"/>
      <c r="R88" s="296">
        <f t="shared" si="167"/>
        <v>530</v>
      </c>
      <c r="S88" s="296">
        <f t="shared" si="184"/>
        <v>1364.56</v>
      </c>
      <c r="T88" s="296">
        <f t="shared" si="185"/>
        <v>1023.42</v>
      </c>
      <c r="U88" s="339">
        <v>800</v>
      </c>
      <c r="V88" s="296">
        <f t="shared" si="186"/>
        <v>6361.539999999999</v>
      </c>
      <c r="W88" s="339">
        <v>14000</v>
      </c>
      <c r="X88" s="296">
        <f t="shared" si="187"/>
        <v>91226.45999999998</v>
      </c>
      <c r="Y88" s="309"/>
      <c r="Z88" s="309"/>
      <c r="AA88" s="309"/>
      <c r="AB88" s="309"/>
      <c r="AC88" s="309"/>
      <c r="AD88" s="309"/>
      <c r="AE88" s="309"/>
      <c r="AF88" s="309"/>
      <c r="AG88" s="309"/>
      <c r="AH88" s="309"/>
      <c r="AI88" s="322" t="s">
        <v>54</v>
      </c>
    </row>
    <row r="89" spans="1:35" ht="12.75">
      <c r="A89" s="269">
        <v>12</v>
      </c>
      <c r="B89" s="269"/>
      <c r="C89" s="328" t="s">
        <v>90</v>
      </c>
      <c r="D89" s="269" t="s">
        <v>54</v>
      </c>
      <c r="E89" s="327">
        <v>3000</v>
      </c>
      <c r="F89" s="327"/>
      <c r="G89" s="327"/>
      <c r="H89" s="327">
        <v>150</v>
      </c>
      <c r="I89" s="327">
        <v>264</v>
      </c>
      <c r="J89" s="327">
        <v>300</v>
      </c>
      <c r="K89" s="296">
        <f t="shared" si="179"/>
        <v>3714</v>
      </c>
      <c r="L89" s="327">
        <f>SUM(E89:I89)</f>
        <v>3414</v>
      </c>
      <c r="M89" s="296">
        <f t="shared" si="180"/>
        <v>745.71</v>
      </c>
      <c r="N89" s="296">
        <f t="shared" si="181"/>
        <v>404.69</v>
      </c>
      <c r="O89" s="296">
        <f t="shared" si="182"/>
        <v>23.81</v>
      </c>
      <c r="P89" s="296">
        <f t="shared" si="183"/>
        <v>13.33</v>
      </c>
      <c r="Q89" s="296"/>
      <c r="R89" s="296">
        <f t="shared" si="167"/>
        <v>410</v>
      </c>
      <c r="S89" s="296">
        <f t="shared" si="184"/>
        <v>1333.3600000000001</v>
      </c>
      <c r="T89" s="296">
        <f t="shared" si="185"/>
        <v>1000.02</v>
      </c>
      <c r="U89" s="339">
        <v>800</v>
      </c>
      <c r="V89" s="296">
        <f t="shared" si="186"/>
        <v>6111.539999999999</v>
      </c>
      <c r="W89" s="339">
        <v>14000</v>
      </c>
      <c r="X89" s="296">
        <f t="shared" si="187"/>
        <v>88171.85999999999</v>
      </c>
      <c r="Y89" s="309"/>
      <c r="Z89" s="309"/>
      <c r="AA89" s="309"/>
      <c r="AB89" s="309"/>
      <c r="AC89" s="309"/>
      <c r="AD89" s="309"/>
      <c r="AE89" s="309"/>
      <c r="AF89" s="309"/>
      <c r="AG89" s="309"/>
      <c r="AH89" s="309"/>
      <c r="AI89" s="322" t="s">
        <v>54</v>
      </c>
    </row>
    <row r="90" spans="1:35" ht="12.75">
      <c r="A90" s="269"/>
      <c r="B90" s="269"/>
      <c r="C90" s="328" t="s">
        <v>61</v>
      </c>
      <c r="D90" s="269" t="s">
        <v>48</v>
      </c>
      <c r="E90" s="327">
        <f>4180-3800</f>
        <v>380</v>
      </c>
      <c r="F90" s="327"/>
      <c r="G90" s="327"/>
      <c r="H90" s="327"/>
      <c r="I90" s="327"/>
      <c r="J90" s="327"/>
      <c r="K90" s="296">
        <f t="shared" si="179"/>
        <v>380</v>
      </c>
      <c r="L90" s="327"/>
      <c r="M90" s="296"/>
      <c r="N90" s="296"/>
      <c r="O90" s="296"/>
      <c r="P90" s="296"/>
      <c r="Q90" s="296"/>
      <c r="R90" s="296">
        <f t="shared" si="167"/>
        <v>0</v>
      </c>
      <c r="S90" s="296">
        <f t="shared" si="184"/>
        <v>91.2</v>
      </c>
      <c r="T90" s="296">
        <f t="shared" si="185"/>
        <v>68.39999999999999</v>
      </c>
      <c r="U90" s="339">
        <v>0</v>
      </c>
      <c r="V90" s="296">
        <f t="shared" si="186"/>
        <v>380</v>
      </c>
      <c r="W90" s="339"/>
      <c r="X90" s="296">
        <f t="shared" si="187"/>
        <v>4719.599999999999</v>
      </c>
      <c r="Y90" s="309">
        <f>ROUND(L90*8%,2)</f>
        <v>0</v>
      </c>
      <c r="Z90" s="309">
        <f>ROUND(L90*2%,2)</f>
        <v>0</v>
      </c>
      <c r="AA90" s="309">
        <f>ROUND(L90*0.5%,2)</f>
        <v>0</v>
      </c>
      <c r="AB90" s="309">
        <f>SUM(Y90:AA90)</f>
        <v>0</v>
      </c>
      <c r="AC90" s="309">
        <f>ROUND(IF(L90&gt;3453*105%,L90,3453*105%)*8%,2)</f>
        <v>290.05</v>
      </c>
      <c r="AD90" s="309">
        <f>ROUND(IF(L90&gt;3453*105%,L90,3453*105%)*2%,2)</f>
        <v>72.51</v>
      </c>
      <c r="AE90" s="309">
        <f>ROUND(IF(L90&gt;3453*105%,L90,3453*105%)*0.5%,2)</f>
        <v>18.13</v>
      </c>
      <c r="AF90" s="309">
        <f>SUM(AC90:AE90)</f>
        <v>380.69</v>
      </c>
      <c r="AG90" s="309">
        <f>AF90-AB90</f>
        <v>380.69</v>
      </c>
      <c r="AH90" s="309"/>
      <c r="AI90" s="322" t="s">
        <v>54</v>
      </c>
    </row>
    <row r="91" spans="1:35" ht="12.75">
      <c r="A91" s="269"/>
      <c r="B91" s="269" t="s">
        <v>49</v>
      </c>
      <c r="C91" s="328" t="s">
        <v>61</v>
      </c>
      <c r="D91" s="269" t="s">
        <v>53</v>
      </c>
      <c r="E91" s="327">
        <f>3540-3000</f>
        <v>540</v>
      </c>
      <c r="F91" s="327"/>
      <c r="G91" s="327"/>
      <c r="H91" s="327">
        <f>170-150</f>
        <v>20</v>
      </c>
      <c r="I91" s="327"/>
      <c r="J91" s="327"/>
      <c r="K91" s="296">
        <f t="shared" si="179"/>
        <v>560</v>
      </c>
      <c r="L91" s="327"/>
      <c r="M91" s="296"/>
      <c r="N91" s="296"/>
      <c r="O91" s="296"/>
      <c r="P91" s="296"/>
      <c r="Q91" s="296"/>
      <c r="R91" s="296">
        <f t="shared" si="167"/>
        <v>0</v>
      </c>
      <c r="S91" s="296">
        <f t="shared" si="184"/>
        <v>198.4</v>
      </c>
      <c r="T91" s="296">
        <f t="shared" si="185"/>
        <v>148.79999999999998</v>
      </c>
      <c r="U91" s="339">
        <v>100</v>
      </c>
      <c r="V91" s="296">
        <f t="shared" si="186"/>
        <v>660</v>
      </c>
      <c r="W91" s="339">
        <v>2000</v>
      </c>
      <c r="X91" s="296">
        <f t="shared" si="187"/>
        <v>10267.199999999999</v>
      </c>
      <c r="Y91" s="309">
        <f>ROUND(L91*8%,2)</f>
        <v>0</v>
      </c>
      <c r="Z91" s="309">
        <f>ROUND(L91*2%,2)</f>
        <v>0</v>
      </c>
      <c r="AA91" s="309">
        <f>ROUND(L91*0.5%,2)</f>
        <v>0</v>
      </c>
      <c r="AB91" s="309">
        <f>SUM(Y91:AA91)</f>
        <v>0</v>
      </c>
      <c r="AC91" s="309">
        <f>ROUND(IF(L91&gt;3453*105%,L91,3453*105%)*8%,2)</f>
        <v>290.05</v>
      </c>
      <c r="AD91" s="309">
        <f>ROUND(IF(L91&gt;3453*105%,L91,3453*105%)*2%,2)</f>
        <v>72.51</v>
      </c>
      <c r="AE91" s="309">
        <f>ROUND(IF(L91&gt;3453*105%,L91,3453*105%)*0.5%,2)</f>
        <v>18.13</v>
      </c>
      <c r="AF91" s="309">
        <f>SUM(AC91:AE91)</f>
        <v>380.69</v>
      </c>
      <c r="AG91" s="309">
        <f>AF91-AB91</f>
        <v>380.69</v>
      </c>
      <c r="AH91" s="309"/>
      <c r="AI91" s="322" t="s">
        <v>54</v>
      </c>
    </row>
    <row r="92" spans="1:35" ht="12.75">
      <c r="A92" s="269"/>
      <c r="B92" s="269"/>
      <c r="C92" s="328" t="s">
        <v>61</v>
      </c>
      <c r="D92" s="269" t="s">
        <v>53</v>
      </c>
      <c r="E92" s="327">
        <f>3540-3000</f>
        <v>540</v>
      </c>
      <c r="F92" s="327"/>
      <c r="G92" s="327"/>
      <c r="H92" s="327">
        <f>170-150</f>
        <v>20</v>
      </c>
      <c r="I92" s="327"/>
      <c r="J92" s="327"/>
      <c r="K92" s="296">
        <f t="shared" si="179"/>
        <v>560</v>
      </c>
      <c r="L92" s="327"/>
      <c r="M92" s="296"/>
      <c r="N92" s="296"/>
      <c r="O92" s="296"/>
      <c r="P92" s="296"/>
      <c r="Q92" s="296"/>
      <c r="R92" s="296"/>
      <c r="S92" s="296">
        <f t="shared" si="184"/>
        <v>198.4</v>
      </c>
      <c r="T92" s="296">
        <f t="shared" si="185"/>
        <v>148.79999999999998</v>
      </c>
      <c r="U92" s="339">
        <v>100</v>
      </c>
      <c r="V92" s="296">
        <f t="shared" si="186"/>
        <v>660</v>
      </c>
      <c r="W92" s="339">
        <v>2000</v>
      </c>
      <c r="X92" s="296">
        <f t="shared" si="187"/>
        <v>10267.199999999999</v>
      </c>
      <c r="Y92" s="309"/>
      <c r="Z92" s="309"/>
      <c r="AA92" s="309"/>
      <c r="AB92" s="309"/>
      <c r="AC92" s="309"/>
      <c r="AD92" s="309"/>
      <c r="AE92" s="309"/>
      <c r="AF92" s="309"/>
      <c r="AG92" s="309"/>
      <c r="AH92" s="309"/>
      <c r="AI92" s="322" t="s">
        <v>54</v>
      </c>
    </row>
    <row r="93" spans="1:35" ht="12.75">
      <c r="A93" s="329"/>
      <c r="B93" s="329"/>
      <c r="C93" s="330" t="s">
        <v>142</v>
      </c>
      <c r="D93" s="331"/>
      <c r="E93" s="332">
        <f>SUM(E78:E92)</f>
        <v>48640</v>
      </c>
      <c r="F93" s="332">
        <f aca="true" t="shared" si="189" ref="F93:K93">SUM(F78:F92)</f>
        <v>1090</v>
      </c>
      <c r="G93" s="332">
        <f t="shared" si="189"/>
        <v>200</v>
      </c>
      <c r="H93" s="332">
        <f t="shared" si="189"/>
        <v>2280</v>
      </c>
      <c r="I93" s="332">
        <f t="shared" si="189"/>
        <v>3168</v>
      </c>
      <c r="J93" s="332">
        <f t="shared" si="189"/>
        <v>3600</v>
      </c>
      <c r="K93" s="335">
        <f t="shared" si="189"/>
        <v>58978</v>
      </c>
      <c r="L93" s="336"/>
      <c r="M93" s="296">
        <f>SUM(M78:M92)</f>
        <v>10936.55</v>
      </c>
      <c r="N93" s="296">
        <f aca="true" t="shared" si="190" ref="N93:X93">SUM(N78:N92)</f>
        <v>5852.709999999999</v>
      </c>
      <c r="O93" s="296">
        <f t="shared" si="190"/>
        <v>344.31</v>
      </c>
      <c r="P93" s="296">
        <f t="shared" si="190"/>
        <v>192.79000000000002</v>
      </c>
      <c r="Q93" s="296">
        <f t="shared" si="190"/>
        <v>0</v>
      </c>
      <c r="R93" s="296">
        <f t="shared" si="190"/>
        <v>7936</v>
      </c>
      <c r="S93" s="296">
        <f t="shared" si="190"/>
        <v>21968.720000000005</v>
      </c>
      <c r="T93" s="296">
        <f t="shared" si="190"/>
        <v>16476.539999999997</v>
      </c>
      <c r="U93" s="296">
        <f t="shared" si="190"/>
        <v>8200</v>
      </c>
      <c r="V93" s="296">
        <f t="shared" si="190"/>
        <v>92440.35999999999</v>
      </c>
      <c r="W93" s="296">
        <f t="shared" si="190"/>
        <v>310300</v>
      </c>
      <c r="X93" s="296">
        <f t="shared" si="190"/>
        <v>1440029.58</v>
      </c>
      <c r="Y93" s="309"/>
      <c r="Z93" s="309"/>
      <c r="AA93" s="309"/>
      <c r="AB93" s="309"/>
      <c r="AC93" s="309"/>
      <c r="AD93" s="309"/>
      <c r="AE93" s="309"/>
      <c r="AF93" s="309"/>
      <c r="AG93" s="309">
        <f>SUM(AG78:AG81)</f>
        <v>0</v>
      </c>
      <c r="AH93" s="309"/>
      <c r="AI93" s="322"/>
    </row>
    <row r="94" spans="1:35" ht="12.75">
      <c r="A94" s="269">
        <v>1</v>
      </c>
      <c r="B94" s="269"/>
      <c r="C94" s="269" t="s">
        <v>143</v>
      </c>
      <c r="D94" s="269" t="s">
        <v>36</v>
      </c>
      <c r="E94" s="333">
        <v>6230</v>
      </c>
      <c r="F94" s="327">
        <v>100</v>
      </c>
      <c r="G94" s="334"/>
      <c r="H94" s="327">
        <v>250</v>
      </c>
      <c r="I94" s="327">
        <v>264</v>
      </c>
      <c r="J94" s="327">
        <v>300</v>
      </c>
      <c r="K94" s="296">
        <f>SUM(E94:J94)</f>
        <v>7144</v>
      </c>
      <c r="L94" s="337">
        <v>8342.333333333334</v>
      </c>
      <c r="M94" s="296">
        <f>ROUND(IF(L94&gt;4660.7,L94,4660.7)*16%,2)</f>
        <v>1334.77</v>
      </c>
      <c r="N94" s="296">
        <f>ROUND(IF(L94&gt;4761.1,L94,4761.1)*8.5%,2)</f>
        <v>709.1</v>
      </c>
      <c r="O94" s="296">
        <f>ROUND(IF(L94&gt;4761.1,L94,4761.1)*0.5%,2)</f>
        <v>41.71</v>
      </c>
      <c r="P94" s="296">
        <f>ROUND(IF(L94&gt;4761.1,L94,4761.1)*0.28%,2)</f>
        <v>23.36</v>
      </c>
      <c r="Q94" s="296"/>
      <c r="R94" s="296">
        <f>CEILING(L94*12%,1)</f>
        <v>1002</v>
      </c>
      <c r="S94" s="296">
        <f>((SUM(E94:I94)+U94)*12+J94*7+W94)*2%</f>
        <v>2764.56</v>
      </c>
      <c r="T94" s="296">
        <f>((SUM(E94:I94)+U94)*12+J94*7+W94)*1.5%</f>
        <v>2073.42</v>
      </c>
      <c r="U94" s="339"/>
      <c r="V94" s="296">
        <f>SUM(K94:R94)-L94+U94</f>
        <v>10254.939999999997</v>
      </c>
      <c r="W94" s="339">
        <v>54000</v>
      </c>
      <c r="X94" s="296">
        <f>V94*12+W94+S94+T94-J94*5</f>
        <v>180397.25999999998</v>
      </c>
      <c r="Y94" s="309">
        <f aca="true" t="shared" si="191" ref="Y94:Y157">ROUND(L94*8%,2)</f>
        <v>667.39</v>
      </c>
      <c r="Z94" s="309">
        <f aca="true" t="shared" si="192" ref="Z94:Z157">ROUND(L94*2%,2)</f>
        <v>166.85</v>
      </c>
      <c r="AA94" s="309">
        <f aca="true" t="shared" si="193" ref="AA94:AA157">ROUND(L94*0.5%,2)</f>
        <v>41.71</v>
      </c>
      <c r="AB94" s="309">
        <f aca="true" t="shared" si="194" ref="AB94:AB157">SUM(Y94:AA94)</f>
        <v>875.95</v>
      </c>
      <c r="AC94" s="309">
        <f aca="true" t="shared" si="195" ref="AC94:AC157">ROUND(IF(L94&gt;3453*105%,L94,3453*105%)*8%,2)</f>
        <v>667.39</v>
      </c>
      <c r="AD94" s="309">
        <f aca="true" t="shared" si="196" ref="AD94:AD157">ROUND(IF(L94&gt;3453*105%,L94,3453*105%)*2%,2)</f>
        <v>166.85</v>
      </c>
      <c r="AE94" s="309">
        <f aca="true" t="shared" si="197" ref="AE94:AE157">ROUND(IF(L94&gt;3453*105%,L94,3453*105%)*0.5%,2)</f>
        <v>41.71</v>
      </c>
      <c r="AF94" s="309">
        <f aca="true" t="shared" si="198" ref="AF94:AF157">SUM(AC94:AE94)</f>
        <v>875.95</v>
      </c>
      <c r="AG94" s="309">
        <f aca="true" t="shared" si="199" ref="AG94:AG157">AF94-AB94</f>
        <v>0</v>
      </c>
      <c r="AH94" s="309"/>
      <c r="AI94" s="322" t="s">
        <v>39</v>
      </c>
    </row>
    <row r="95" spans="1:35" ht="12.75">
      <c r="A95" s="269">
        <v>2</v>
      </c>
      <c r="B95" s="269"/>
      <c r="C95" s="269" t="s">
        <v>144</v>
      </c>
      <c r="D95" s="269" t="s">
        <v>131</v>
      </c>
      <c r="E95" s="333">
        <v>6230</v>
      </c>
      <c r="F95" s="327">
        <v>210</v>
      </c>
      <c r="G95" s="334"/>
      <c r="H95" s="327">
        <v>250</v>
      </c>
      <c r="I95" s="327">
        <v>264</v>
      </c>
      <c r="J95" s="327">
        <v>300</v>
      </c>
      <c r="K95" s="296">
        <f aca="true" t="shared" si="200" ref="K95:K126">SUM(E95:J95)</f>
        <v>7254</v>
      </c>
      <c r="L95" s="337">
        <v>8452.333333333334</v>
      </c>
      <c r="M95" s="296">
        <f aca="true" t="shared" si="201" ref="M95:M126">ROUND(IF(L95&gt;4660.7,L95,4660.7)*16%,2)</f>
        <v>1352.37</v>
      </c>
      <c r="N95" s="296">
        <f aca="true" t="shared" si="202" ref="N95:N126">ROUND(IF(L95&gt;4761.1,L95,4761.1)*8.5%,2)</f>
        <v>718.45</v>
      </c>
      <c r="O95" s="296">
        <f aca="true" t="shared" si="203" ref="O95:O126">ROUND(IF(L95&gt;4761.1,L95,4761.1)*0.5%,2)</f>
        <v>42.26</v>
      </c>
      <c r="P95" s="296">
        <f aca="true" t="shared" si="204" ref="P95:P126">ROUND(IF(L95&gt;4761.1,L95,4761.1)*0.28%,2)</f>
        <v>23.67</v>
      </c>
      <c r="Q95" s="296"/>
      <c r="R95" s="296">
        <f aca="true" t="shared" si="205" ref="R95:R140">CEILING(L95*12%,1)</f>
        <v>1015</v>
      </c>
      <c r="S95" s="296">
        <f aca="true" t="shared" si="206" ref="S95:S126">((SUM(E95:I95)+U95)*12+J95*7+W95)*2%</f>
        <v>2790.96</v>
      </c>
      <c r="T95" s="296">
        <f aca="true" t="shared" si="207" ref="T95:T126">((SUM(E95:I95)+U95)*12+J95*7+W95)*1.5%</f>
        <v>2093.22</v>
      </c>
      <c r="U95" s="339"/>
      <c r="V95" s="296">
        <f aca="true" t="shared" si="208" ref="V95:V126">SUM(K95:R95)-L95+U95</f>
        <v>10405.749999999998</v>
      </c>
      <c r="W95" s="339">
        <v>54000</v>
      </c>
      <c r="X95" s="296">
        <f aca="true" t="shared" si="209" ref="X95:X126">V95*12+W95+S95+T95-J95*5</f>
        <v>182253.17999999996</v>
      </c>
      <c r="Y95" s="309">
        <f t="shared" si="191"/>
        <v>676.19</v>
      </c>
      <c r="Z95" s="309">
        <f t="shared" si="192"/>
        <v>169.05</v>
      </c>
      <c r="AA95" s="309">
        <f t="shared" si="193"/>
        <v>42.26</v>
      </c>
      <c r="AB95" s="309">
        <f t="shared" si="194"/>
        <v>887.5</v>
      </c>
      <c r="AC95" s="309">
        <f t="shared" si="195"/>
        <v>676.19</v>
      </c>
      <c r="AD95" s="309">
        <f t="shared" si="196"/>
        <v>169.05</v>
      </c>
      <c r="AE95" s="309">
        <f t="shared" si="197"/>
        <v>42.26</v>
      </c>
      <c r="AF95" s="309">
        <f t="shared" si="198"/>
        <v>887.5</v>
      </c>
      <c r="AG95" s="309">
        <f t="shared" si="199"/>
        <v>0</v>
      </c>
      <c r="AH95" s="309"/>
      <c r="AI95" s="322" t="s">
        <v>39</v>
      </c>
    </row>
    <row r="96" spans="1:35" ht="12.75">
      <c r="A96" s="269">
        <v>3</v>
      </c>
      <c r="B96" s="269"/>
      <c r="C96" s="269" t="s">
        <v>145</v>
      </c>
      <c r="D96" s="269" t="s">
        <v>133</v>
      </c>
      <c r="E96" s="333">
        <v>5300</v>
      </c>
      <c r="F96" s="327">
        <v>90</v>
      </c>
      <c r="G96" s="334"/>
      <c r="H96" s="327">
        <v>230</v>
      </c>
      <c r="I96" s="327">
        <v>264</v>
      </c>
      <c r="J96" s="327">
        <v>300</v>
      </c>
      <c r="K96" s="296">
        <f t="shared" si="200"/>
        <v>6184</v>
      </c>
      <c r="L96" s="337">
        <v>7410.666666666667</v>
      </c>
      <c r="M96" s="296">
        <f t="shared" si="201"/>
        <v>1185.71</v>
      </c>
      <c r="N96" s="296">
        <f t="shared" si="202"/>
        <v>629.91</v>
      </c>
      <c r="O96" s="296">
        <f t="shared" si="203"/>
        <v>37.05</v>
      </c>
      <c r="P96" s="296">
        <f t="shared" si="204"/>
        <v>20.75</v>
      </c>
      <c r="Q96" s="296"/>
      <c r="R96" s="296">
        <f t="shared" si="205"/>
        <v>890</v>
      </c>
      <c r="S96" s="296">
        <f t="shared" si="206"/>
        <v>2460.16</v>
      </c>
      <c r="T96" s="296">
        <f t="shared" si="207"/>
        <v>1845.12</v>
      </c>
      <c r="U96" s="339"/>
      <c r="V96" s="296">
        <f t="shared" si="208"/>
        <v>8947.419999999998</v>
      </c>
      <c r="W96" s="339">
        <v>50300</v>
      </c>
      <c r="X96" s="296">
        <f t="shared" si="209"/>
        <v>160474.31999999998</v>
      </c>
      <c r="Y96" s="309">
        <f t="shared" si="191"/>
        <v>592.85</v>
      </c>
      <c r="Z96" s="309">
        <f t="shared" si="192"/>
        <v>148.21</v>
      </c>
      <c r="AA96" s="309">
        <f t="shared" si="193"/>
        <v>37.05</v>
      </c>
      <c r="AB96" s="309">
        <f t="shared" si="194"/>
        <v>778.11</v>
      </c>
      <c r="AC96" s="309">
        <f t="shared" si="195"/>
        <v>592.85</v>
      </c>
      <c r="AD96" s="309">
        <f t="shared" si="196"/>
        <v>148.21</v>
      </c>
      <c r="AE96" s="309">
        <f t="shared" si="197"/>
        <v>37.05</v>
      </c>
      <c r="AF96" s="309">
        <f t="shared" si="198"/>
        <v>778.11</v>
      </c>
      <c r="AG96" s="309">
        <f t="shared" si="199"/>
        <v>0</v>
      </c>
      <c r="AH96" s="309"/>
      <c r="AI96" s="322" t="s">
        <v>39</v>
      </c>
    </row>
    <row r="97" spans="1:35" ht="12.75">
      <c r="A97" s="269">
        <v>4</v>
      </c>
      <c r="B97" s="269"/>
      <c r="C97" s="269" t="s">
        <v>146</v>
      </c>
      <c r="D97" s="269" t="s">
        <v>48</v>
      </c>
      <c r="E97" s="333">
        <v>4180</v>
      </c>
      <c r="F97" s="327">
        <v>180</v>
      </c>
      <c r="G97" s="334"/>
      <c r="H97" s="327">
        <v>180</v>
      </c>
      <c r="I97" s="327">
        <v>264</v>
      </c>
      <c r="J97" s="327">
        <v>300</v>
      </c>
      <c r="K97" s="296">
        <f t="shared" si="200"/>
        <v>5104</v>
      </c>
      <c r="L97" s="337">
        <v>6039</v>
      </c>
      <c r="M97" s="296">
        <f t="shared" si="201"/>
        <v>966.24</v>
      </c>
      <c r="N97" s="296">
        <f t="shared" si="202"/>
        <v>513.32</v>
      </c>
      <c r="O97" s="296">
        <f t="shared" si="203"/>
        <v>30.2</v>
      </c>
      <c r="P97" s="296">
        <f t="shared" si="204"/>
        <v>16.91</v>
      </c>
      <c r="Q97" s="296"/>
      <c r="R97" s="296">
        <f t="shared" si="205"/>
        <v>725</v>
      </c>
      <c r="S97" s="296">
        <f t="shared" si="206"/>
        <v>1918.96</v>
      </c>
      <c r="T97" s="296">
        <f t="shared" si="207"/>
        <v>1439.22</v>
      </c>
      <c r="U97" s="339">
        <v>1100</v>
      </c>
      <c r="V97" s="296">
        <f t="shared" si="208"/>
        <v>8455.67</v>
      </c>
      <c r="W97" s="339">
        <v>23000</v>
      </c>
      <c r="X97" s="296">
        <f t="shared" si="209"/>
        <v>126326.22000000002</v>
      </c>
      <c r="Y97" s="309">
        <f t="shared" si="191"/>
        <v>483.12</v>
      </c>
      <c r="Z97" s="309">
        <f t="shared" si="192"/>
        <v>120.78</v>
      </c>
      <c r="AA97" s="309">
        <f t="shared" si="193"/>
        <v>30.2</v>
      </c>
      <c r="AB97" s="309">
        <f t="shared" si="194"/>
        <v>634.1</v>
      </c>
      <c r="AC97" s="309">
        <f t="shared" si="195"/>
        <v>483.12</v>
      </c>
      <c r="AD97" s="309">
        <f t="shared" si="196"/>
        <v>120.78</v>
      </c>
      <c r="AE97" s="309">
        <f t="shared" si="197"/>
        <v>30.2</v>
      </c>
      <c r="AF97" s="309">
        <f t="shared" si="198"/>
        <v>634.1</v>
      </c>
      <c r="AG97" s="309">
        <f t="shared" si="199"/>
        <v>0</v>
      </c>
      <c r="AH97" s="309"/>
      <c r="AI97" s="322" t="s">
        <v>54</v>
      </c>
    </row>
    <row r="98" spans="1:35" ht="12.75">
      <c r="A98" s="269">
        <v>5</v>
      </c>
      <c r="B98" s="269"/>
      <c r="C98" s="269" t="s">
        <v>147</v>
      </c>
      <c r="D98" s="269" t="s">
        <v>148</v>
      </c>
      <c r="E98" s="333">
        <v>3540</v>
      </c>
      <c r="F98" s="327">
        <v>10</v>
      </c>
      <c r="G98" s="334"/>
      <c r="H98" s="327">
        <v>120</v>
      </c>
      <c r="I98" s="327">
        <v>264</v>
      </c>
      <c r="J98" s="327">
        <v>300</v>
      </c>
      <c r="K98" s="296">
        <f t="shared" si="200"/>
        <v>4234</v>
      </c>
      <c r="L98" s="337">
        <v>2964.4166666666665</v>
      </c>
      <c r="M98" s="296">
        <f t="shared" si="201"/>
        <v>745.71</v>
      </c>
      <c r="N98" s="296">
        <f t="shared" si="202"/>
        <v>404.69</v>
      </c>
      <c r="O98" s="296">
        <f t="shared" si="203"/>
        <v>23.81</v>
      </c>
      <c r="P98" s="296">
        <f t="shared" si="204"/>
        <v>13.33</v>
      </c>
      <c r="Q98" s="296"/>
      <c r="R98" s="296">
        <f t="shared" si="205"/>
        <v>356</v>
      </c>
      <c r="S98" s="296">
        <f t="shared" si="206"/>
        <v>1522.16</v>
      </c>
      <c r="T98" s="296">
        <f t="shared" si="207"/>
        <v>1141.62</v>
      </c>
      <c r="U98" s="339">
        <v>900</v>
      </c>
      <c r="V98" s="296">
        <f t="shared" si="208"/>
        <v>6677.539999999999</v>
      </c>
      <c r="W98" s="339">
        <v>16000</v>
      </c>
      <c r="X98" s="296">
        <f t="shared" si="209"/>
        <v>97294.25999999998</v>
      </c>
      <c r="Y98" s="309">
        <f t="shared" si="191"/>
        <v>237.15</v>
      </c>
      <c r="Z98" s="309">
        <f t="shared" si="192"/>
        <v>59.29</v>
      </c>
      <c r="AA98" s="309">
        <f t="shared" si="193"/>
        <v>14.82</v>
      </c>
      <c r="AB98" s="309">
        <f t="shared" si="194"/>
        <v>311.26</v>
      </c>
      <c r="AC98" s="309">
        <f t="shared" si="195"/>
        <v>290.05</v>
      </c>
      <c r="AD98" s="309">
        <f t="shared" si="196"/>
        <v>72.51</v>
      </c>
      <c r="AE98" s="309">
        <f t="shared" si="197"/>
        <v>18.13</v>
      </c>
      <c r="AF98" s="309">
        <f t="shared" si="198"/>
        <v>380.69</v>
      </c>
      <c r="AG98" s="309">
        <f t="shared" si="199"/>
        <v>69.43</v>
      </c>
      <c r="AH98" s="309"/>
      <c r="AI98" s="322" t="s">
        <v>54</v>
      </c>
    </row>
    <row r="99" spans="1:35" ht="12.75">
      <c r="A99" s="269">
        <v>6</v>
      </c>
      <c r="B99" s="269"/>
      <c r="C99" s="269" t="s">
        <v>149</v>
      </c>
      <c r="D99" s="269" t="s">
        <v>150</v>
      </c>
      <c r="E99" s="333">
        <v>3540</v>
      </c>
      <c r="F99" s="327">
        <v>40</v>
      </c>
      <c r="G99" s="334"/>
      <c r="H99" s="327">
        <v>120</v>
      </c>
      <c r="I99" s="327">
        <v>264</v>
      </c>
      <c r="J99" s="327">
        <v>300</v>
      </c>
      <c r="K99" s="296">
        <f t="shared" si="200"/>
        <v>4264</v>
      </c>
      <c r="L99" s="337">
        <v>5009</v>
      </c>
      <c r="M99" s="296">
        <f t="shared" si="201"/>
        <v>801.44</v>
      </c>
      <c r="N99" s="296">
        <f t="shared" si="202"/>
        <v>425.77</v>
      </c>
      <c r="O99" s="296">
        <f t="shared" si="203"/>
        <v>25.05</v>
      </c>
      <c r="P99" s="296">
        <f t="shared" si="204"/>
        <v>14.03</v>
      </c>
      <c r="Q99" s="296"/>
      <c r="R99" s="296">
        <f t="shared" si="205"/>
        <v>602</v>
      </c>
      <c r="S99" s="296">
        <f t="shared" si="206"/>
        <v>1529.3600000000001</v>
      </c>
      <c r="T99" s="296">
        <f t="shared" si="207"/>
        <v>1147.02</v>
      </c>
      <c r="U99" s="339">
        <v>900</v>
      </c>
      <c r="V99" s="296">
        <f t="shared" si="208"/>
        <v>7032.290000000001</v>
      </c>
      <c r="W99" s="339">
        <v>16000</v>
      </c>
      <c r="X99" s="296">
        <f t="shared" si="209"/>
        <v>101563.86000000002</v>
      </c>
      <c r="Y99" s="309">
        <f t="shared" si="191"/>
        <v>400.72</v>
      </c>
      <c r="Z99" s="309">
        <f t="shared" si="192"/>
        <v>100.18</v>
      </c>
      <c r="AA99" s="309">
        <f t="shared" si="193"/>
        <v>25.05</v>
      </c>
      <c r="AB99" s="309">
        <f t="shared" si="194"/>
        <v>525.95</v>
      </c>
      <c r="AC99" s="309">
        <f t="shared" si="195"/>
        <v>400.72</v>
      </c>
      <c r="AD99" s="309">
        <f t="shared" si="196"/>
        <v>100.18</v>
      </c>
      <c r="AE99" s="309">
        <f t="shared" si="197"/>
        <v>25.05</v>
      </c>
      <c r="AF99" s="309">
        <f t="shared" si="198"/>
        <v>525.95</v>
      </c>
      <c r="AG99" s="309">
        <f t="shared" si="199"/>
        <v>0</v>
      </c>
      <c r="AH99" s="309"/>
      <c r="AI99" s="322" t="s">
        <v>54</v>
      </c>
    </row>
    <row r="100" spans="1:35" ht="12.75">
      <c r="A100" s="269">
        <v>7</v>
      </c>
      <c r="B100" s="269"/>
      <c r="C100" s="269" t="s">
        <v>151</v>
      </c>
      <c r="D100" s="269" t="s">
        <v>53</v>
      </c>
      <c r="E100" s="333">
        <v>3540</v>
      </c>
      <c r="F100" s="327">
        <v>80</v>
      </c>
      <c r="G100" s="334"/>
      <c r="H100" s="327">
        <v>120</v>
      </c>
      <c r="I100" s="327">
        <v>264</v>
      </c>
      <c r="J100" s="327">
        <v>300</v>
      </c>
      <c r="K100" s="296">
        <f t="shared" si="200"/>
        <v>4304</v>
      </c>
      <c r="L100" s="337">
        <v>5049</v>
      </c>
      <c r="M100" s="296">
        <f t="shared" si="201"/>
        <v>807.84</v>
      </c>
      <c r="N100" s="296">
        <f t="shared" si="202"/>
        <v>429.17</v>
      </c>
      <c r="O100" s="296">
        <f t="shared" si="203"/>
        <v>25.25</v>
      </c>
      <c r="P100" s="296">
        <f t="shared" si="204"/>
        <v>14.14</v>
      </c>
      <c r="Q100" s="296"/>
      <c r="R100" s="296">
        <f t="shared" si="205"/>
        <v>606</v>
      </c>
      <c r="S100" s="296">
        <f t="shared" si="206"/>
        <v>1538.96</v>
      </c>
      <c r="T100" s="296">
        <f t="shared" si="207"/>
        <v>1154.22</v>
      </c>
      <c r="U100" s="339">
        <v>900</v>
      </c>
      <c r="V100" s="296">
        <f t="shared" si="208"/>
        <v>7086.4</v>
      </c>
      <c r="W100" s="339">
        <v>16000</v>
      </c>
      <c r="X100" s="296">
        <f t="shared" si="209"/>
        <v>102229.98</v>
      </c>
      <c r="Y100" s="309">
        <f t="shared" si="191"/>
        <v>403.92</v>
      </c>
      <c r="Z100" s="309">
        <f t="shared" si="192"/>
        <v>100.98</v>
      </c>
      <c r="AA100" s="309">
        <f t="shared" si="193"/>
        <v>25.25</v>
      </c>
      <c r="AB100" s="309">
        <f t="shared" si="194"/>
        <v>530.1500000000001</v>
      </c>
      <c r="AC100" s="309">
        <f t="shared" si="195"/>
        <v>403.92</v>
      </c>
      <c r="AD100" s="309">
        <f t="shared" si="196"/>
        <v>100.98</v>
      </c>
      <c r="AE100" s="309">
        <f t="shared" si="197"/>
        <v>25.25</v>
      </c>
      <c r="AF100" s="309">
        <f t="shared" si="198"/>
        <v>530.1500000000001</v>
      </c>
      <c r="AG100" s="309">
        <f t="shared" si="199"/>
        <v>0</v>
      </c>
      <c r="AH100" s="309"/>
      <c r="AI100" s="322" t="s">
        <v>54</v>
      </c>
    </row>
    <row r="101" spans="1:35" ht="12.75">
      <c r="A101" s="269">
        <v>8</v>
      </c>
      <c r="B101" s="269"/>
      <c r="C101" s="269" t="s">
        <v>152</v>
      </c>
      <c r="D101" s="269" t="s">
        <v>153</v>
      </c>
      <c r="E101" s="333">
        <v>4180</v>
      </c>
      <c r="F101" s="327">
        <v>100</v>
      </c>
      <c r="G101" s="334"/>
      <c r="H101" s="327">
        <v>0</v>
      </c>
      <c r="I101" s="327">
        <v>264</v>
      </c>
      <c r="J101" s="327">
        <v>300</v>
      </c>
      <c r="K101" s="296">
        <f t="shared" si="200"/>
        <v>4844</v>
      </c>
      <c r="L101" s="337">
        <v>5551</v>
      </c>
      <c r="M101" s="296">
        <f t="shared" si="201"/>
        <v>888.16</v>
      </c>
      <c r="N101" s="296">
        <f t="shared" si="202"/>
        <v>471.84</v>
      </c>
      <c r="O101" s="296">
        <f t="shared" si="203"/>
        <v>27.76</v>
      </c>
      <c r="P101" s="296">
        <f t="shared" si="204"/>
        <v>15.54</v>
      </c>
      <c r="Q101" s="296"/>
      <c r="R101" s="296">
        <f t="shared" si="205"/>
        <v>667</v>
      </c>
      <c r="S101" s="296">
        <f t="shared" si="206"/>
        <v>1856.56</v>
      </c>
      <c r="T101" s="296">
        <f t="shared" si="207"/>
        <v>1392.4199999999998</v>
      </c>
      <c r="U101" s="339">
        <v>1100</v>
      </c>
      <c r="V101" s="296">
        <f t="shared" si="208"/>
        <v>8014.300000000001</v>
      </c>
      <c r="W101" s="339">
        <v>23000</v>
      </c>
      <c r="X101" s="296">
        <f t="shared" si="209"/>
        <v>120920.58</v>
      </c>
      <c r="Y101" s="309">
        <f t="shared" si="191"/>
        <v>444.08</v>
      </c>
      <c r="Z101" s="309">
        <f t="shared" si="192"/>
        <v>111.02</v>
      </c>
      <c r="AA101" s="309">
        <f t="shared" si="193"/>
        <v>27.76</v>
      </c>
      <c r="AB101" s="309">
        <f t="shared" si="194"/>
        <v>582.86</v>
      </c>
      <c r="AC101" s="309">
        <f t="shared" si="195"/>
        <v>444.08</v>
      </c>
      <c r="AD101" s="309">
        <f t="shared" si="196"/>
        <v>111.02</v>
      </c>
      <c r="AE101" s="309">
        <f t="shared" si="197"/>
        <v>27.76</v>
      </c>
      <c r="AF101" s="309">
        <f t="shared" si="198"/>
        <v>582.86</v>
      </c>
      <c r="AG101" s="309">
        <f t="shared" si="199"/>
        <v>0</v>
      </c>
      <c r="AH101" s="309"/>
      <c r="AI101" s="322" t="s">
        <v>54</v>
      </c>
    </row>
    <row r="102" spans="1:35" ht="12.75">
      <c r="A102" s="269">
        <v>9</v>
      </c>
      <c r="B102" s="269"/>
      <c r="C102" s="269" t="s">
        <v>154</v>
      </c>
      <c r="D102" s="269" t="s">
        <v>155</v>
      </c>
      <c r="E102" s="333">
        <v>2400</v>
      </c>
      <c r="F102" s="327">
        <v>190</v>
      </c>
      <c r="G102" s="334"/>
      <c r="H102" s="327">
        <v>80</v>
      </c>
      <c r="I102" s="327">
        <v>264</v>
      </c>
      <c r="J102" s="327">
        <v>300</v>
      </c>
      <c r="K102" s="296">
        <f t="shared" si="200"/>
        <v>3234</v>
      </c>
      <c r="L102" s="337">
        <v>3685.6666666666665</v>
      </c>
      <c r="M102" s="296">
        <f t="shared" si="201"/>
        <v>745.71</v>
      </c>
      <c r="N102" s="296">
        <f t="shared" si="202"/>
        <v>404.69</v>
      </c>
      <c r="O102" s="296">
        <f t="shared" si="203"/>
        <v>23.81</v>
      </c>
      <c r="P102" s="296">
        <f t="shared" si="204"/>
        <v>13.33</v>
      </c>
      <c r="Q102" s="296"/>
      <c r="R102" s="296">
        <f t="shared" si="205"/>
        <v>443</v>
      </c>
      <c r="S102" s="296">
        <f t="shared" si="206"/>
        <v>1130.16</v>
      </c>
      <c r="T102" s="296">
        <f t="shared" si="207"/>
        <v>847.62</v>
      </c>
      <c r="U102" s="339">
        <v>600</v>
      </c>
      <c r="V102" s="296">
        <f t="shared" si="208"/>
        <v>5464.539999999999</v>
      </c>
      <c r="W102" s="339">
        <v>12000</v>
      </c>
      <c r="X102" s="296">
        <f t="shared" si="209"/>
        <v>78052.25999999998</v>
      </c>
      <c r="Y102" s="309">
        <f t="shared" si="191"/>
        <v>294.85</v>
      </c>
      <c r="Z102" s="309">
        <f t="shared" si="192"/>
        <v>73.71</v>
      </c>
      <c r="AA102" s="309">
        <f t="shared" si="193"/>
        <v>18.43</v>
      </c>
      <c r="AB102" s="309">
        <f t="shared" si="194"/>
        <v>386.99</v>
      </c>
      <c r="AC102" s="309">
        <f t="shared" si="195"/>
        <v>294.85</v>
      </c>
      <c r="AD102" s="309">
        <f t="shared" si="196"/>
        <v>73.71</v>
      </c>
      <c r="AE102" s="309">
        <f t="shared" si="197"/>
        <v>18.43</v>
      </c>
      <c r="AF102" s="309">
        <f t="shared" si="198"/>
        <v>386.99</v>
      </c>
      <c r="AG102" s="309">
        <f t="shared" si="199"/>
        <v>0</v>
      </c>
      <c r="AH102" s="309"/>
      <c r="AI102" s="322" t="s">
        <v>54</v>
      </c>
    </row>
    <row r="103" spans="1:35" ht="12.75">
      <c r="A103" s="269">
        <v>10</v>
      </c>
      <c r="B103" s="269"/>
      <c r="C103" s="269" t="s">
        <v>156</v>
      </c>
      <c r="D103" s="269" t="s">
        <v>155</v>
      </c>
      <c r="E103" s="333">
        <v>2400</v>
      </c>
      <c r="F103" s="327">
        <v>220</v>
      </c>
      <c r="G103" s="334"/>
      <c r="H103" s="327">
        <v>80</v>
      </c>
      <c r="I103" s="327">
        <v>264</v>
      </c>
      <c r="J103" s="327">
        <v>300</v>
      </c>
      <c r="K103" s="296">
        <f t="shared" si="200"/>
        <v>3264</v>
      </c>
      <c r="L103" s="337">
        <v>3715.6666666666665</v>
      </c>
      <c r="M103" s="296">
        <f t="shared" si="201"/>
        <v>745.71</v>
      </c>
      <c r="N103" s="296">
        <f t="shared" si="202"/>
        <v>404.69</v>
      </c>
      <c r="O103" s="296">
        <f t="shared" si="203"/>
        <v>23.81</v>
      </c>
      <c r="P103" s="296">
        <f t="shared" si="204"/>
        <v>13.33</v>
      </c>
      <c r="Q103" s="296"/>
      <c r="R103" s="296">
        <f t="shared" si="205"/>
        <v>446</v>
      </c>
      <c r="S103" s="296">
        <f t="shared" si="206"/>
        <v>1137.3600000000001</v>
      </c>
      <c r="T103" s="296">
        <f t="shared" si="207"/>
        <v>853.02</v>
      </c>
      <c r="U103" s="339">
        <v>600</v>
      </c>
      <c r="V103" s="296">
        <f t="shared" si="208"/>
        <v>5497.539999999999</v>
      </c>
      <c r="W103" s="339">
        <v>12000</v>
      </c>
      <c r="X103" s="296">
        <f t="shared" si="209"/>
        <v>78460.85999999999</v>
      </c>
      <c r="Y103" s="309">
        <f t="shared" si="191"/>
        <v>297.25</v>
      </c>
      <c r="Z103" s="309">
        <f t="shared" si="192"/>
        <v>74.31</v>
      </c>
      <c r="AA103" s="309">
        <f t="shared" si="193"/>
        <v>18.58</v>
      </c>
      <c r="AB103" s="309">
        <f t="shared" si="194"/>
        <v>390.14</v>
      </c>
      <c r="AC103" s="309">
        <f t="shared" si="195"/>
        <v>297.25</v>
      </c>
      <c r="AD103" s="309">
        <f t="shared" si="196"/>
        <v>74.31</v>
      </c>
      <c r="AE103" s="309">
        <f t="shared" si="197"/>
        <v>18.58</v>
      </c>
      <c r="AF103" s="309">
        <f t="shared" si="198"/>
        <v>390.14</v>
      </c>
      <c r="AG103" s="309">
        <f t="shared" si="199"/>
        <v>0</v>
      </c>
      <c r="AH103" s="309"/>
      <c r="AI103" s="322" t="s">
        <v>54</v>
      </c>
    </row>
    <row r="104" spans="1:36" ht="12.75">
      <c r="A104" s="269">
        <v>11</v>
      </c>
      <c r="B104" s="269"/>
      <c r="C104" s="269" t="s">
        <v>157</v>
      </c>
      <c r="D104" s="269" t="s">
        <v>155</v>
      </c>
      <c r="E104" s="333">
        <v>2910</v>
      </c>
      <c r="F104" s="327">
        <v>220</v>
      </c>
      <c r="G104" s="334"/>
      <c r="H104" s="327">
        <v>80</v>
      </c>
      <c r="I104" s="327">
        <v>264</v>
      </c>
      <c r="J104" s="327">
        <v>300</v>
      </c>
      <c r="K104" s="296">
        <f t="shared" si="200"/>
        <v>3774</v>
      </c>
      <c r="L104" s="337">
        <v>4218.166666666667</v>
      </c>
      <c r="M104" s="296">
        <f t="shared" si="201"/>
        <v>745.71</v>
      </c>
      <c r="N104" s="296">
        <f t="shared" si="202"/>
        <v>404.69</v>
      </c>
      <c r="O104" s="296">
        <f t="shared" si="203"/>
        <v>23.81</v>
      </c>
      <c r="P104" s="296">
        <f t="shared" si="204"/>
        <v>13.33</v>
      </c>
      <c r="Q104" s="296"/>
      <c r="R104" s="296">
        <f t="shared" si="205"/>
        <v>507</v>
      </c>
      <c r="S104" s="296">
        <f t="shared" si="206"/>
        <v>1259.76</v>
      </c>
      <c r="T104" s="296">
        <f t="shared" si="207"/>
        <v>944.8199999999999</v>
      </c>
      <c r="U104" s="339">
        <v>600</v>
      </c>
      <c r="V104" s="296">
        <f t="shared" si="208"/>
        <v>6068.54</v>
      </c>
      <c r="W104" s="339">
        <v>12000</v>
      </c>
      <c r="X104" s="296">
        <f t="shared" si="209"/>
        <v>85527.06</v>
      </c>
      <c r="Y104" s="309">
        <f t="shared" si="191"/>
        <v>337.45</v>
      </c>
      <c r="Z104" s="309">
        <f t="shared" si="192"/>
        <v>84.36</v>
      </c>
      <c r="AA104" s="309">
        <f t="shared" si="193"/>
        <v>21.09</v>
      </c>
      <c r="AB104" s="309">
        <f t="shared" si="194"/>
        <v>442.9</v>
      </c>
      <c r="AC104" s="309">
        <f t="shared" si="195"/>
        <v>337.45</v>
      </c>
      <c r="AD104" s="309">
        <f t="shared" si="196"/>
        <v>84.36</v>
      </c>
      <c r="AE104" s="309">
        <f t="shared" si="197"/>
        <v>21.09</v>
      </c>
      <c r="AF104" s="309">
        <f t="shared" si="198"/>
        <v>442.9</v>
      </c>
      <c r="AG104" s="309">
        <f t="shared" si="199"/>
        <v>0</v>
      </c>
      <c r="AH104" s="309"/>
      <c r="AI104" s="322" t="s">
        <v>54</v>
      </c>
      <c r="AJ104" s="344" t="s">
        <v>158</v>
      </c>
    </row>
    <row r="105" spans="1:35" ht="12.75">
      <c r="A105" s="269">
        <v>12</v>
      </c>
      <c r="B105" s="269"/>
      <c r="C105" s="269" t="s">
        <v>159</v>
      </c>
      <c r="D105" s="269" t="s">
        <v>160</v>
      </c>
      <c r="E105" s="333">
        <v>2400</v>
      </c>
      <c r="F105" s="327">
        <v>100</v>
      </c>
      <c r="G105" s="334"/>
      <c r="H105" s="327">
        <v>80</v>
      </c>
      <c r="I105" s="327">
        <v>264</v>
      </c>
      <c r="J105" s="327">
        <v>300</v>
      </c>
      <c r="K105" s="296">
        <f t="shared" si="200"/>
        <v>3144</v>
      </c>
      <c r="L105" s="337">
        <v>3573.1666666666665</v>
      </c>
      <c r="M105" s="296">
        <f t="shared" si="201"/>
        <v>745.71</v>
      </c>
      <c r="N105" s="296">
        <f t="shared" si="202"/>
        <v>404.69</v>
      </c>
      <c r="O105" s="296">
        <f t="shared" si="203"/>
        <v>23.81</v>
      </c>
      <c r="P105" s="296">
        <f t="shared" si="204"/>
        <v>13.33</v>
      </c>
      <c r="Q105" s="296"/>
      <c r="R105" s="296">
        <f t="shared" si="205"/>
        <v>429</v>
      </c>
      <c r="S105" s="296">
        <f t="shared" si="206"/>
        <v>1108.56</v>
      </c>
      <c r="T105" s="296">
        <f t="shared" si="207"/>
        <v>831.42</v>
      </c>
      <c r="U105" s="339">
        <v>600</v>
      </c>
      <c r="V105" s="296">
        <f t="shared" si="208"/>
        <v>5360.539999999999</v>
      </c>
      <c r="W105" s="339">
        <v>12000</v>
      </c>
      <c r="X105" s="296">
        <f t="shared" si="209"/>
        <v>76766.45999999998</v>
      </c>
      <c r="Y105" s="309">
        <f t="shared" si="191"/>
        <v>285.85</v>
      </c>
      <c r="Z105" s="309">
        <f t="shared" si="192"/>
        <v>71.46</v>
      </c>
      <c r="AA105" s="309">
        <f t="shared" si="193"/>
        <v>17.87</v>
      </c>
      <c r="AB105" s="309">
        <f t="shared" si="194"/>
        <v>375.18</v>
      </c>
      <c r="AC105" s="309">
        <f t="shared" si="195"/>
        <v>290.05</v>
      </c>
      <c r="AD105" s="309">
        <f t="shared" si="196"/>
        <v>72.51</v>
      </c>
      <c r="AE105" s="309">
        <f t="shared" si="197"/>
        <v>18.13</v>
      </c>
      <c r="AF105" s="309">
        <f t="shared" si="198"/>
        <v>380.69</v>
      </c>
      <c r="AG105" s="309">
        <f t="shared" si="199"/>
        <v>5.509999999999991</v>
      </c>
      <c r="AH105" s="309"/>
      <c r="AI105" s="322" t="s">
        <v>54</v>
      </c>
    </row>
    <row r="106" spans="1:35" ht="12.75">
      <c r="A106" s="269">
        <v>13</v>
      </c>
      <c r="B106" s="269"/>
      <c r="C106" s="269" t="s">
        <v>161</v>
      </c>
      <c r="D106" s="269" t="s">
        <v>162</v>
      </c>
      <c r="E106" s="333">
        <v>2910</v>
      </c>
      <c r="F106" s="327">
        <v>300</v>
      </c>
      <c r="G106" s="334"/>
      <c r="H106" s="327">
        <v>80</v>
      </c>
      <c r="I106" s="327">
        <v>264</v>
      </c>
      <c r="J106" s="327">
        <v>300</v>
      </c>
      <c r="K106" s="296">
        <f t="shared" si="200"/>
        <v>3854</v>
      </c>
      <c r="L106" s="337">
        <v>4298.166666666667</v>
      </c>
      <c r="M106" s="296">
        <f t="shared" si="201"/>
        <v>745.71</v>
      </c>
      <c r="N106" s="296">
        <f t="shared" si="202"/>
        <v>404.69</v>
      </c>
      <c r="O106" s="296">
        <f t="shared" si="203"/>
        <v>23.81</v>
      </c>
      <c r="P106" s="296">
        <f t="shared" si="204"/>
        <v>13.33</v>
      </c>
      <c r="Q106" s="296"/>
      <c r="R106" s="296">
        <f t="shared" si="205"/>
        <v>516</v>
      </c>
      <c r="S106" s="296">
        <f t="shared" si="206"/>
        <v>1278.96</v>
      </c>
      <c r="T106" s="296">
        <f t="shared" si="207"/>
        <v>959.2199999999999</v>
      </c>
      <c r="U106" s="339">
        <v>600</v>
      </c>
      <c r="V106" s="296">
        <f t="shared" si="208"/>
        <v>6157.54</v>
      </c>
      <c r="W106" s="339">
        <v>12000</v>
      </c>
      <c r="X106" s="296">
        <f t="shared" si="209"/>
        <v>86628.66</v>
      </c>
      <c r="Y106" s="309">
        <f t="shared" si="191"/>
        <v>343.85</v>
      </c>
      <c r="Z106" s="309">
        <f t="shared" si="192"/>
        <v>85.96</v>
      </c>
      <c r="AA106" s="309">
        <f t="shared" si="193"/>
        <v>21.49</v>
      </c>
      <c r="AB106" s="309">
        <f t="shared" si="194"/>
        <v>451.3</v>
      </c>
      <c r="AC106" s="309">
        <f t="shared" si="195"/>
        <v>343.85</v>
      </c>
      <c r="AD106" s="309">
        <f t="shared" si="196"/>
        <v>85.96</v>
      </c>
      <c r="AE106" s="309">
        <f t="shared" si="197"/>
        <v>21.49</v>
      </c>
      <c r="AF106" s="309">
        <f t="shared" si="198"/>
        <v>451.3</v>
      </c>
      <c r="AG106" s="309">
        <f t="shared" si="199"/>
        <v>0</v>
      </c>
      <c r="AH106" s="309"/>
      <c r="AI106" s="322" t="s">
        <v>54</v>
      </c>
    </row>
    <row r="107" spans="1:35" ht="12.75">
      <c r="A107" s="269">
        <v>14</v>
      </c>
      <c r="B107" s="269"/>
      <c r="C107" s="269" t="s">
        <v>163</v>
      </c>
      <c r="D107" s="269" t="s">
        <v>162</v>
      </c>
      <c r="E107" s="333">
        <v>2910</v>
      </c>
      <c r="F107" s="327">
        <v>150</v>
      </c>
      <c r="G107" s="334"/>
      <c r="H107" s="327">
        <v>80</v>
      </c>
      <c r="I107" s="327">
        <v>264</v>
      </c>
      <c r="J107" s="327">
        <v>300</v>
      </c>
      <c r="K107" s="296">
        <f t="shared" si="200"/>
        <v>3704</v>
      </c>
      <c r="L107" s="337">
        <v>4148.166666666667</v>
      </c>
      <c r="M107" s="296">
        <f t="shared" si="201"/>
        <v>745.71</v>
      </c>
      <c r="N107" s="296">
        <f t="shared" si="202"/>
        <v>404.69</v>
      </c>
      <c r="O107" s="296">
        <f t="shared" si="203"/>
        <v>23.81</v>
      </c>
      <c r="P107" s="296">
        <f t="shared" si="204"/>
        <v>13.33</v>
      </c>
      <c r="Q107" s="296"/>
      <c r="R107" s="296">
        <f t="shared" si="205"/>
        <v>498</v>
      </c>
      <c r="S107" s="296">
        <f t="shared" si="206"/>
        <v>1242.96</v>
      </c>
      <c r="T107" s="296">
        <f t="shared" si="207"/>
        <v>932.2199999999999</v>
      </c>
      <c r="U107" s="339">
        <v>600</v>
      </c>
      <c r="V107" s="296">
        <f t="shared" si="208"/>
        <v>5989.54</v>
      </c>
      <c r="W107" s="339">
        <v>12000</v>
      </c>
      <c r="X107" s="296">
        <f t="shared" si="209"/>
        <v>84549.66</v>
      </c>
      <c r="Y107" s="309">
        <f t="shared" si="191"/>
        <v>331.85</v>
      </c>
      <c r="Z107" s="309">
        <f t="shared" si="192"/>
        <v>82.96</v>
      </c>
      <c r="AA107" s="309">
        <f t="shared" si="193"/>
        <v>20.74</v>
      </c>
      <c r="AB107" s="309">
        <f t="shared" si="194"/>
        <v>435.55</v>
      </c>
      <c r="AC107" s="309">
        <f t="shared" si="195"/>
        <v>331.85</v>
      </c>
      <c r="AD107" s="309">
        <f t="shared" si="196"/>
        <v>82.96</v>
      </c>
      <c r="AE107" s="309">
        <f t="shared" si="197"/>
        <v>20.74</v>
      </c>
      <c r="AF107" s="309">
        <f t="shared" si="198"/>
        <v>435.55</v>
      </c>
      <c r="AG107" s="309">
        <f t="shared" si="199"/>
        <v>0</v>
      </c>
      <c r="AH107" s="309"/>
      <c r="AI107" s="322" t="s">
        <v>54</v>
      </c>
    </row>
    <row r="108" spans="1:35" ht="12.75">
      <c r="A108" s="269">
        <v>15</v>
      </c>
      <c r="B108" s="269"/>
      <c r="C108" s="269" t="s">
        <v>164</v>
      </c>
      <c r="D108" s="269" t="s">
        <v>162</v>
      </c>
      <c r="E108" s="333">
        <v>2910</v>
      </c>
      <c r="F108" s="327">
        <v>190</v>
      </c>
      <c r="G108" s="334"/>
      <c r="H108" s="327">
        <v>80</v>
      </c>
      <c r="I108" s="327">
        <v>264</v>
      </c>
      <c r="J108" s="327">
        <v>300</v>
      </c>
      <c r="K108" s="296">
        <f t="shared" si="200"/>
        <v>3744</v>
      </c>
      <c r="L108" s="337">
        <v>4188.166666666667</v>
      </c>
      <c r="M108" s="296">
        <f t="shared" si="201"/>
        <v>745.71</v>
      </c>
      <c r="N108" s="296">
        <f t="shared" si="202"/>
        <v>404.69</v>
      </c>
      <c r="O108" s="296">
        <f t="shared" si="203"/>
        <v>23.81</v>
      </c>
      <c r="P108" s="296">
        <f t="shared" si="204"/>
        <v>13.33</v>
      </c>
      <c r="Q108" s="296"/>
      <c r="R108" s="296">
        <f t="shared" si="205"/>
        <v>503</v>
      </c>
      <c r="S108" s="296">
        <f t="shared" si="206"/>
        <v>1252.56</v>
      </c>
      <c r="T108" s="296">
        <f t="shared" si="207"/>
        <v>939.42</v>
      </c>
      <c r="U108" s="339">
        <v>600</v>
      </c>
      <c r="V108" s="296">
        <f t="shared" si="208"/>
        <v>6034.54</v>
      </c>
      <c r="W108" s="339">
        <v>12000</v>
      </c>
      <c r="X108" s="296">
        <f t="shared" si="209"/>
        <v>85106.45999999999</v>
      </c>
      <c r="Y108" s="309">
        <f t="shared" si="191"/>
        <v>335.05</v>
      </c>
      <c r="Z108" s="309">
        <f t="shared" si="192"/>
        <v>83.76</v>
      </c>
      <c r="AA108" s="309">
        <f t="shared" si="193"/>
        <v>20.94</v>
      </c>
      <c r="AB108" s="309">
        <f t="shared" si="194"/>
        <v>439.75</v>
      </c>
      <c r="AC108" s="309">
        <f t="shared" si="195"/>
        <v>335.05</v>
      </c>
      <c r="AD108" s="309">
        <f t="shared" si="196"/>
        <v>83.76</v>
      </c>
      <c r="AE108" s="309">
        <f t="shared" si="197"/>
        <v>20.94</v>
      </c>
      <c r="AF108" s="309">
        <f t="shared" si="198"/>
        <v>439.75</v>
      </c>
      <c r="AG108" s="309">
        <f t="shared" si="199"/>
        <v>0</v>
      </c>
      <c r="AH108" s="309"/>
      <c r="AI108" s="322" t="s">
        <v>54</v>
      </c>
    </row>
    <row r="109" spans="1:35" ht="12.75">
      <c r="A109" s="269">
        <v>16</v>
      </c>
      <c r="B109" s="269"/>
      <c r="C109" s="269" t="s">
        <v>165</v>
      </c>
      <c r="D109" s="269" t="s">
        <v>155</v>
      </c>
      <c r="E109" s="333">
        <v>2400</v>
      </c>
      <c r="F109" s="327">
        <v>380</v>
      </c>
      <c r="G109" s="334"/>
      <c r="H109" s="327">
        <v>80</v>
      </c>
      <c r="I109" s="327">
        <v>264</v>
      </c>
      <c r="J109" s="327">
        <v>300</v>
      </c>
      <c r="K109" s="296">
        <f t="shared" si="200"/>
        <v>3424</v>
      </c>
      <c r="L109" s="337">
        <v>3875.6666666666665</v>
      </c>
      <c r="M109" s="296">
        <f t="shared" si="201"/>
        <v>745.71</v>
      </c>
      <c r="N109" s="296">
        <f t="shared" si="202"/>
        <v>404.69</v>
      </c>
      <c r="O109" s="296">
        <f t="shared" si="203"/>
        <v>23.81</v>
      </c>
      <c r="P109" s="296">
        <f t="shared" si="204"/>
        <v>13.33</v>
      </c>
      <c r="Q109" s="296"/>
      <c r="R109" s="296">
        <f t="shared" si="205"/>
        <v>466</v>
      </c>
      <c r="S109" s="296">
        <f t="shared" si="206"/>
        <v>1175.76</v>
      </c>
      <c r="T109" s="296">
        <f t="shared" si="207"/>
        <v>881.8199999999999</v>
      </c>
      <c r="U109" s="339">
        <v>600</v>
      </c>
      <c r="V109" s="296">
        <f t="shared" si="208"/>
        <v>5677.539999999999</v>
      </c>
      <c r="W109" s="339">
        <v>12000</v>
      </c>
      <c r="X109" s="296">
        <f t="shared" si="209"/>
        <v>80688.05999999998</v>
      </c>
      <c r="Y109" s="309">
        <f t="shared" si="191"/>
        <v>310.05</v>
      </c>
      <c r="Z109" s="309">
        <f t="shared" si="192"/>
        <v>77.51</v>
      </c>
      <c r="AA109" s="309">
        <f t="shared" si="193"/>
        <v>19.38</v>
      </c>
      <c r="AB109" s="309">
        <f t="shared" si="194"/>
        <v>406.94</v>
      </c>
      <c r="AC109" s="309">
        <f t="shared" si="195"/>
        <v>310.05</v>
      </c>
      <c r="AD109" s="309">
        <f t="shared" si="196"/>
        <v>77.51</v>
      </c>
      <c r="AE109" s="309">
        <f t="shared" si="197"/>
        <v>19.38</v>
      </c>
      <c r="AF109" s="309">
        <f t="shared" si="198"/>
        <v>406.94</v>
      </c>
      <c r="AG109" s="309">
        <f t="shared" si="199"/>
        <v>0</v>
      </c>
      <c r="AH109" s="309"/>
      <c r="AI109" s="322" t="s">
        <v>54</v>
      </c>
    </row>
    <row r="110" spans="1:35" ht="12.75">
      <c r="A110" s="269">
        <v>17</v>
      </c>
      <c r="B110" s="269"/>
      <c r="C110" s="269" t="s">
        <v>166</v>
      </c>
      <c r="D110" s="269" t="s">
        <v>155</v>
      </c>
      <c r="E110" s="333">
        <v>2400</v>
      </c>
      <c r="F110" s="327">
        <v>400</v>
      </c>
      <c r="G110" s="334"/>
      <c r="H110" s="327">
        <v>80</v>
      </c>
      <c r="I110" s="327">
        <v>264</v>
      </c>
      <c r="J110" s="327">
        <v>300</v>
      </c>
      <c r="K110" s="296">
        <f t="shared" si="200"/>
        <v>3444</v>
      </c>
      <c r="L110" s="337">
        <v>3888.1666666666665</v>
      </c>
      <c r="M110" s="296">
        <f t="shared" si="201"/>
        <v>745.71</v>
      </c>
      <c r="N110" s="296">
        <f t="shared" si="202"/>
        <v>404.69</v>
      </c>
      <c r="O110" s="296">
        <f t="shared" si="203"/>
        <v>23.81</v>
      </c>
      <c r="P110" s="296">
        <f t="shared" si="204"/>
        <v>13.33</v>
      </c>
      <c r="Q110" s="296"/>
      <c r="R110" s="296">
        <f t="shared" si="205"/>
        <v>467</v>
      </c>
      <c r="S110" s="296">
        <f t="shared" si="206"/>
        <v>1180.56</v>
      </c>
      <c r="T110" s="296">
        <f t="shared" si="207"/>
        <v>885.42</v>
      </c>
      <c r="U110" s="339">
        <v>600</v>
      </c>
      <c r="V110" s="296">
        <f t="shared" si="208"/>
        <v>5698.539999999999</v>
      </c>
      <c r="W110" s="339">
        <v>12000</v>
      </c>
      <c r="X110" s="296">
        <f t="shared" si="209"/>
        <v>80948.45999999998</v>
      </c>
      <c r="Y110" s="309">
        <f t="shared" si="191"/>
        <v>311.05</v>
      </c>
      <c r="Z110" s="309">
        <f t="shared" si="192"/>
        <v>77.76</v>
      </c>
      <c r="AA110" s="309">
        <f t="shared" si="193"/>
        <v>19.44</v>
      </c>
      <c r="AB110" s="309">
        <f t="shared" si="194"/>
        <v>408.25</v>
      </c>
      <c r="AC110" s="309">
        <f t="shared" si="195"/>
        <v>311.05</v>
      </c>
      <c r="AD110" s="309">
        <f t="shared" si="196"/>
        <v>77.76</v>
      </c>
      <c r="AE110" s="309">
        <f t="shared" si="197"/>
        <v>19.44</v>
      </c>
      <c r="AF110" s="309">
        <f t="shared" si="198"/>
        <v>408.25</v>
      </c>
      <c r="AG110" s="309">
        <f t="shared" si="199"/>
        <v>0</v>
      </c>
      <c r="AH110" s="309"/>
      <c r="AI110" s="322" t="s">
        <v>54</v>
      </c>
    </row>
    <row r="111" spans="1:36" ht="12.75">
      <c r="A111" s="269">
        <v>18</v>
      </c>
      <c r="B111" s="269"/>
      <c r="C111" s="269" t="s">
        <v>167</v>
      </c>
      <c r="D111" s="269" t="s">
        <v>155</v>
      </c>
      <c r="E111" s="333">
        <v>2400</v>
      </c>
      <c r="F111" s="327">
        <v>200</v>
      </c>
      <c r="G111" s="334"/>
      <c r="H111" s="327">
        <v>80</v>
      </c>
      <c r="I111" s="327">
        <v>264</v>
      </c>
      <c r="J111" s="327">
        <v>300</v>
      </c>
      <c r="K111" s="296">
        <f t="shared" si="200"/>
        <v>3244</v>
      </c>
      <c r="L111" s="337">
        <v>3695.6666666666665</v>
      </c>
      <c r="M111" s="296">
        <f t="shared" si="201"/>
        <v>745.71</v>
      </c>
      <c r="N111" s="296">
        <f t="shared" si="202"/>
        <v>404.69</v>
      </c>
      <c r="O111" s="296">
        <f t="shared" si="203"/>
        <v>23.81</v>
      </c>
      <c r="P111" s="296">
        <f t="shared" si="204"/>
        <v>13.33</v>
      </c>
      <c r="Q111" s="296"/>
      <c r="R111" s="296">
        <f t="shared" si="205"/>
        <v>444</v>
      </c>
      <c r="S111" s="296">
        <f t="shared" si="206"/>
        <v>1132.56</v>
      </c>
      <c r="T111" s="296">
        <f t="shared" si="207"/>
        <v>849.42</v>
      </c>
      <c r="U111" s="339">
        <v>600</v>
      </c>
      <c r="V111" s="296">
        <f t="shared" si="208"/>
        <v>5475.539999999999</v>
      </c>
      <c r="W111" s="339">
        <v>12000</v>
      </c>
      <c r="X111" s="296">
        <f t="shared" si="209"/>
        <v>78188.45999999998</v>
      </c>
      <c r="Y111" s="309">
        <f t="shared" si="191"/>
        <v>295.65</v>
      </c>
      <c r="Z111" s="309">
        <f t="shared" si="192"/>
        <v>73.91</v>
      </c>
      <c r="AA111" s="309">
        <f t="shared" si="193"/>
        <v>18.48</v>
      </c>
      <c r="AB111" s="309">
        <f t="shared" si="194"/>
        <v>388.03999999999996</v>
      </c>
      <c r="AC111" s="309">
        <f t="shared" si="195"/>
        <v>295.65</v>
      </c>
      <c r="AD111" s="309">
        <f t="shared" si="196"/>
        <v>73.91</v>
      </c>
      <c r="AE111" s="309">
        <f t="shared" si="197"/>
        <v>18.48</v>
      </c>
      <c r="AF111" s="309">
        <f t="shared" si="198"/>
        <v>388.03999999999996</v>
      </c>
      <c r="AG111" s="309">
        <f t="shared" si="199"/>
        <v>0</v>
      </c>
      <c r="AH111" s="309"/>
      <c r="AI111" s="322" t="s">
        <v>54</v>
      </c>
      <c r="AJ111" s="344" t="s">
        <v>168</v>
      </c>
    </row>
    <row r="112" spans="1:35" ht="12.75">
      <c r="A112" s="269">
        <v>19</v>
      </c>
      <c r="B112" s="269"/>
      <c r="C112" s="269" t="s">
        <v>169</v>
      </c>
      <c r="D112" s="269" t="s">
        <v>155</v>
      </c>
      <c r="E112" s="333">
        <v>2400</v>
      </c>
      <c r="F112" s="327">
        <v>130</v>
      </c>
      <c r="G112" s="334"/>
      <c r="H112" s="327">
        <v>80</v>
      </c>
      <c r="I112" s="327">
        <v>264</v>
      </c>
      <c r="J112" s="327">
        <v>300</v>
      </c>
      <c r="K112" s="296">
        <f t="shared" si="200"/>
        <v>3174</v>
      </c>
      <c r="L112" s="337">
        <v>3618.1666666666665</v>
      </c>
      <c r="M112" s="296">
        <f t="shared" si="201"/>
        <v>745.71</v>
      </c>
      <c r="N112" s="296">
        <f t="shared" si="202"/>
        <v>404.69</v>
      </c>
      <c r="O112" s="296">
        <f t="shared" si="203"/>
        <v>23.81</v>
      </c>
      <c r="P112" s="296">
        <f t="shared" si="204"/>
        <v>13.33</v>
      </c>
      <c r="Q112" s="296"/>
      <c r="R112" s="296">
        <f t="shared" si="205"/>
        <v>435</v>
      </c>
      <c r="S112" s="296">
        <f t="shared" si="206"/>
        <v>1115.76</v>
      </c>
      <c r="T112" s="296">
        <f t="shared" si="207"/>
        <v>836.8199999999999</v>
      </c>
      <c r="U112" s="339">
        <v>600</v>
      </c>
      <c r="V112" s="296">
        <f t="shared" si="208"/>
        <v>5396.539999999999</v>
      </c>
      <c r="W112" s="339">
        <v>12000</v>
      </c>
      <c r="X112" s="296">
        <f t="shared" si="209"/>
        <v>77211.05999999998</v>
      </c>
      <c r="Y112" s="309">
        <f t="shared" si="191"/>
        <v>289.45</v>
      </c>
      <c r="Z112" s="309">
        <f t="shared" si="192"/>
        <v>72.36</v>
      </c>
      <c r="AA112" s="309">
        <f t="shared" si="193"/>
        <v>18.09</v>
      </c>
      <c r="AB112" s="309">
        <f t="shared" si="194"/>
        <v>379.9</v>
      </c>
      <c r="AC112" s="309">
        <f t="shared" si="195"/>
        <v>290.05</v>
      </c>
      <c r="AD112" s="309">
        <f t="shared" si="196"/>
        <v>72.51</v>
      </c>
      <c r="AE112" s="309">
        <f t="shared" si="197"/>
        <v>18.13</v>
      </c>
      <c r="AF112" s="309">
        <f t="shared" si="198"/>
        <v>380.69</v>
      </c>
      <c r="AG112" s="309">
        <f t="shared" si="199"/>
        <v>0.7900000000000205</v>
      </c>
      <c r="AH112" s="309"/>
      <c r="AI112" s="322" t="s">
        <v>54</v>
      </c>
    </row>
    <row r="113" spans="1:35" ht="12.75">
      <c r="A113" s="269">
        <v>20</v>
      </c>
      <c r="B113" s="269"/>
      <c r="C113" s="269" t="s">
        <v>170</v>
      </c>
      <c r="D113" s="269" t="s">
        <v>155</v>
      </c>
      <c r="E113" s="333">
        <v>2400</v>
      </c>
      <c r="F113" s="327">
        <v>130</v>
      </c>
      <c r="G113" s="334"/>
      <c r="H113" s="327">
        <v>80</v>
      </c>
      <c r="I113" s="327">
        <v>264</v>
      </c>
      <c r="J113" s="327">
        <v>300</v>
      </c>
      <c r="K113" s="296">
        <f t="shared" si="200"/>
        <v>3174</v>
      </c>
      <c r="L113" s="337">
        <v>3618.1666666666665</v>
      </c>
      <c r="M113" s="296">
        <f t="shared" si="201"/>
        <v>745.71</v>
      </c>
      <c r="N113" s="296">
        <f t="shared" si="202"/>
        <v>404.69</v>
      </c>
      <c r="O113" s="296">
        <f t="shared" si="203"/>
        <v>23.81</v>
      </c>
      <c r="P113" s="296">
        <f t="shared" si="204"/>
        <v>13.33</v>
      </c>
      <c r="Q113" s="296"/>
      <c r="R113" s="296">
        <f t="shared" si="205"/>
        <v>435</v>
      </c>
      <c r="S113" s="296">
        <f t="shared" si="206"/>
        <v>1115.76</v>
      </c>
      <c r="T113" s="296">
        <f t="shared" si="207"/>
        <v>836.8199999999999</v>
      </c>
      <c r="U113" s="339">
        <v>600</v>
      </c>
      <c r="V113" s="296">
        <f t="shared" si="208"/>
        <v>5396.539999999999</v>
      </c>
      <c r="W113" s="339">
        <v>12000</v>
      </c>
      <c r="X113" s="296">
        <f t="shared" si="209"/>
        <v>77211.05999999998</v>
      </c>
      <c r="Y113" s="309">
        <f t="shared" si="191"/>
        <v>289.45</v>
      </c>
      <c r="Z113" s="309">
        <f t="shared" si="192"/>
        <v>72.36</v>
      </c>
      <c r="AA113" s="309">
        <f t="shared" si="193"/>
        <v>18.09</v>
      </c>
      <c r="AB113" s="309">
        <f t="shared" si="194"/>
        <v>379.9</v>
      </c>
      <c r="AC113" s="309">
        <f t="shared" si="195"/>
        <v>290.05</v>
      </c>
      <c r="AD113" s="309">
        <f t="shared" si="196"/>
        <v>72.51</v>
      </c>
      <c r="AE113" s="309">
        <f t="shared" si="197"/>
        <v>18.13</v>
      </c>
      <c r="AF113" s="309">
        <f t="shared" si="198"/>
        <v>380.69</v>
      </c>
      <c r="AG113" s="309">
        <f t="shared" si="199"/>
        <v>0.7900000000000205</v>
      </c>
      <c r="AH113" s="309"/>
      <c r="AI113" s="322" t="s">
        <v>54</v>
      </c>
    </row>
    <row r="114" spans="1:35" ht="12.75">
      <c r="A114" s="269">
        <v>21</v>
      </c>
      <c r="B114" s="269"/>
      <c r="C114" s="269" t="s">
        <v>171</v>
      </c>
      <c r="D114" s="269" t="s">
        <v>172</v>
      </c>
      <c r="E114" s="333">
        <v>2910</v>
      </c>
      <c r="F114" s="327">
        <v>110</v>
      </c>
      <c r="G114" s="334"/>
      <c r="H114" s="327">
        <v>80</v>
      </c>
      <c r="I114" s="327">
        <v>264</v>
      </c>
      <c r="J114" s="327">
        <v>300</v>
      </c>
      <c r="K114" s="296">
        <f t="shared" si="200"/>
        <v>3664</v>
      </c>
      <c r="L114" s="337">
        <v>3628.8333333333335</v>
      </c>
      <c r="M114" s="296">
        <f t="shared" si="201"/>
        <v>745.71</v>
      </c>
      <c r="N114" s="296">
        <f t="shared" si="202"/>
        <v>404.69</v>
      </c>
      <c r="O114" s="296">
        <f t="shared" si="203"/>
        <v>23.81</v>
      </c>
      <c r="P114" s="296">
        <f t="shared" si="204"/>
        <v>13.33</v>
      </c>
      <c r="Q114" s="296"/>
      <c r="R114" s="296">
        <f t="shared" si="205"/>
        <v>436</v>
      </c>
      <c r="S114" s="296">
        <f t="shared" si="206"/>
        <v>1233.3600000000001</v>
      </c>
      <c r="T114" s="296">
        <f t="shared" si="207"/>
        <v>925.02</v>
      </c>
      <c r="U114" s="339">
        <v>600</v>
      </c>
      <c r="V114" s="296">
        <f t="shared" si="208"/>
        <v>5887.539999999999</v>
      </c>
      <c r="W114" s="339">
        <v>12000</v>
      </c>
      <c r="X114" s="296">
        <f t="shared" si="209"/>
        <v>83308.85999999999</v>
      </c>
      <c r="Y114" s="309">
        <f t="shared" si="191"/>
        <v>290.31</v>
      </c>
      <c r="Z114" s="309">
        <f t="shared" si="192"/>
        <v>72.58</v>
      </c>
      <c r="AA114" s="309">
        <f t="shared" si="193"/>
        <v>18.14</v>
      </c>
      <c r="AB114" s="309">
        <f t="shared" si="194"/>
        <v>381.03</v>
      </c>
      <c r="AC114" s="309">
        <f t="shared" si="195"/>
        <v>290.31</v>
      </c>
      <c r="AD114" s="309">
        <f t="shared" si="196"/>
        <v>72.58</v>
      </c>
      <c r="AE114" s="309">
        <f t="shared" si="197"/>
        <v>18.14</v>
      </c>
      <c r="AF114" s="309">
        <f t="shared" si="198"/>
        <v>381.03</v>
      </c>
      <c r="AG114" s="309">
        <f t="shared" si="199"/>
        <v>0</v>
      </c>
      <c r="AH114" s="309"/>
      <c r="AI114" s="322" t="s">
        <v>54</v>
      </c>
    </row>
    <row r="115" spans="1:35" ht="12.75">
      <c r="A115" s="269">
        <v>22</v>
      </c>
      <c r="B115" s="269"/>
      <c r="C115" s="269" t="s">
        <v>173</v>
      </c>
      <c r="D115" s="269" t="s">
        <v>174</v>
      </c>
      <c r="E115" s="333">
        <v>2910</v>
      </c>
      <c r="F115" s="327">
        <v>70</v>
      </c>
      <c r="G115" s="334"/>
      <c r="H115" s="327">
        <v>80</v>
      </c>
      <c r="I115" s="327">
        <v>264</v>
      </c>
      <c r="J115" s="327">
        <v>300</v>
      </c>
      <c r="K115" s="296">
        <f t="shared" si="200"/>
        <v>3624</v>
      </c>
      <c r="L115" s="337">
        <v>4068.1666666666665</v>
      </c>
      <c r="M115" s="296">
        <f t="shared" si="201"/>
        <v>745.71</v>
      </c>
      <c r="N115" s="296">
        <f t="shared" si="202"/>
        <v>404.69</v>
      </c>
      <c r="O115" s="296">
        <f t="shared" si="203"/>
        <v>23.81</v>
      </c>
      <c r="P115" s="296">
        <f t="shared" si="204"/>
        <v>13.33</v>
      </c>
      <c r="Q115" s="296"/>
      <c r="R115" s="296">
        <f t="shared" si="205"/>
        <v>489</v>
      </c>
      <c r="S115" s="296">
        <f t="shared" si="206"/>
        <v>1223.76</v>
      </c>
      <c r="T115" s="296">
        <f t="shared" si="207"/>
        <v>917.8199999999999</v>
      </c>
      <c r="U115" s="339">
        <v>600</v>
      </c>
      <c r="V115" s="296">
        <f t="shared" si="208"/>
        <v>5900.540000000001</v>
      </c>
      <c r="W115" s="339">
        <v>12000</v>
      </c>
      <c r="X115" s="296">
        <f t="shared" si="209"/>
        <v>83448.06000000001</v>
      </c>
      <c r="Y115" s="309">
        <f t="shared" si="191"/>
        <v>325.45</v>
      </c>
      <c r="Z115" s="309">
        <f t="shared" si="192"/>
        <v>81.36</v>
      </c>
      <c r="AA115" s="309">
        <f t="shared" si="193"/>
        <v>20.34</v>
      </c>
      <c r="AB115" s="309">
        <f t="shared" si="194"/>
        <v>427.15</v>
      </c>
      <c r="AC115" s="309">
        <f t="shared" si="195"/>
        <v>325.45</v>
      </c>
      <c r="AD115" s="309">
        <f t="shared" si="196"/>
        <v>81.36</v>
      </c>
      <c r="AE115" s="309">
        <f t="shared" si="197"/>
        <v>20.34</v>
      </c>
      <c r="AF115" s="309">
        <f t="shared" si="198"/>
        <v>427.15</v>
      </c>
      <c r="AG115" s="309">
        <f t="shared" si="199"/>
        <v>0</v>
      </c>
      <c r="AH115" s="309"/>
      <c r="AI115" s="322" t="s">
        <v>54</v>
      </c>
    </row>
    <row r="116" spans="1:35" ht="12.75">
      <c r="A116" s="269">
        <v>23</v>
      </c>
      <c r="B116" s="269"/>
      <c r="C116" s="269" t="s">
        <v>175</v>
      </c>
      <c r="D116" s="269" t="s">
        <v>176</v>
      </c>
      <c r="E116" s="333">
        <v>2400</v>
      </c>
      <c r="F116" s="327">
        <v>290</v>
      </c>
      <c r="G116" s="334"/>
      <c r="H116" s="327">
        <v>80</v>
      </c>
      <c r="I116" s="327">
        <v>264</v>
      </c>
      <c r="J116" s="327">
        <v>300</v>
      </c>
      <c r="K116" s="296">
        <f t="shared" si="200"/>
        <v>3334</v>
      </c>
      <c r="L116" s="337">
        <v>3778.1666666666665</v>
      </c>
      <c r="M116" s="296">
        <f t="shared" si="201"/>
        <v>745.71</v>
      </c>
      <c r="N116" s="296">
        <f t="shared" si="202"/>
        <v>404.69</v>
      </c>
      <c r="O116" s="296">
        <f t="shared" si="203"/>
        <v>23.81</v>
      </c>
      <c r="P116" s="296">
        <f t="shared" si="204"/>
        <v>13.33</v>
      </c>
      <c r="Q116" s="296"/>
      <c r="R116" s="296">
        <f t="shared" si="205"/>
        <v>454</v>
      </c>
      <c r="S116" s="296">
        <f t="shared" si="206"/>
        <v>1154.16</v>
      </c>
      <c r="T116" s="296">
        <f t="shared" si="207"/>
        <v>865.62</v>
      </c>
      <c r="U116" s="339">
        <v>600</v>
      </c>
      <c r="V116" s="296">
        <f t="shared" si="208"/>
        <v>5575.539999999999</v>
      </c>
      <c r="W116" s="339">
        <v>12000</v>
      </c>
      <c r="X116" s="296">
        <f t="shared" si="209"/>
        <v>79426.25999999998</v>
      </c>
      <c r="Y116" s="309">
        <f t="shared" si="191"/>
        <v>302.25</v>
      </c>
      <c r="Z116" s="309">
        <f t="shared" si="192"/>
        <v>75.56</v>
      </c>
      <c r="AA116" s="309">
        <f t="shared" si="193"/>
        <v>18.89</v>
      </c>
      <c r="AB116" s="309">
        <f t="shared" si="194"/>
        <v>396.7</v>
      </c>
      <c r="AC116" s="309">
        <f t="shared" si="195"/>
        <v>302.25</v>
      </c>
      <c r="AD116" s="309">
        <f t="shared" si="196"/>
        <v>75.56</v>
      </c>
      <c r="AE116" s="309">
        <f t="shared" si="197"/>
        <v>18.89</v>
      </c>
      <c r="AF116" s="309">
        <f t="shared" si="198"/>
        <v>396.7</v>
      </c>
      <c r="AG116" s="309">
        <f t="shared" si="199"/>
        <v>0</v>
      </c>
      <c r="AH116" s="309"/>
      <c r="AI116" s="322" t="s">
        <v>54</v>
      </c>
    </row>
    <row r="117" spans="1:35" ht="12.75">
      <c r="A117" s="269">
        <v>24</v>
      </c>
      <c r="B117" s="269"/>
      <c r="C117" s="269" t="s">
        <v>177</v>
      </c>
      <c r="D117" s="269" t="s">
        <v>178</v>
      </c>
      <c r="E117" s="333">
        <v>1800</v>
      </c>
      <c r="F117" s="327"/>
      <c r="G117" s="334"/>
      <c r="H117" s="327">
        <v>80</v>
      </c>
      <c r="I117" s="327">
        <v>264</v>
      </c>
      <c r="J117" s="327">
        <v>300</v>
      </c>
      <c r="K117" s="296">
        <f t="shared" si="200"/>
        <v>2444</v>
      </c>
      <c r="L117" s="337">
        <v>2239</v>
      </c>
      <c r="M117" s="296">
        <f t="shared" si="201"/>
        <v>745.71</v>
      </c>
      <c r="N117" s="296">
        <f t="shared" si="202"/>
        <v>404.69</v>
      </c>
      <c r="O117" s="296">
        <f t="shared" si="203"/>
        <v>23.81</v>
      </c>
      <c r="P117" s="296">
        <f t="shared" si="204"/>
        <v>13.33</v>
      </c>
      <c r="Q117" s="296"/>
      <c r="R117" s="296"/>
      <c r="S117" s="296">
        <f t="shared" si="206"/>
        <v>616.5600000000001</v>
      </c>
      <c r="T117" s="296">
        <f t="shared" si="207"/>
        <v>462.41999999999996</v>
      </c>
      <c r="U117" s="339"/>
      <c r="V117" s="296">
        <f t="shared" si="208"/>
        <v>3631.54</v>
      </c>
      <c r="W117" s="339">
        <v>3000</v>
      </c>
      <c r="X117" s="296">
        <f t="shared" si="209"/>
        <v>46157.45999999999</v>
      </c>
      <c r="Y117" s="309">
        <f t="shared" si="191"/>
        <v>179.12</v>
      </c>
      <c r="Z117" s="309">
        <f t="shared" si="192"/>
        <v>44.78</v>
      </c>
      <c r="AA117" s="309">
        <f t="shared" si="193"/>
        <v>11.2</v>
      </c>
      <c r="AB117" s="309">
        <f t="shared" si="194"/>
        <v>235.1</v>
      </c>
      <c r="AC117" s="309">
        <f t="shared" si="195"/>
        <v>290.05</v>
      </c>
      <c r="AD117" s="309">
        <f t="shared" si="196"/>
        <v>72.51</v>
      </c>
      <c r="AE117" s="309">
        <f t="shared" si="197"/>
        <v>18.13</v>
      </c>
      <c r="AF117" s="309">
        <f t="shared" si="198"/>
        <v>380.69</v>
      </c>
      <c r="AG117" s="309">
        <f t="shared" si="199"/>
        <v>145.59</v>
      </c>
      <c r="AH117" s="309"/>
      <c r="AI117" s="322" t="s">
        <v>179</v>
      </c>
    </row>
    <row r="118" spans="1:35" ht="12.75">
      <c r="A118" s="269">
        <v>25</v>
      </c>
      <c r="B118" s="269"/>
      <c r="C118" s="269" t="s">
        <v>180</v>
      </c>
      <c r="D118" s="269" t="s">
        <v>181</v>
      </c>
      <c r="E118" s="333">
        <v>2400</v>
      </c>
      <c r="F118" s="327">
        <v>120</v>
      </c>
      <c r="G118" s="334"/>
      <c r="H118" s="327">
        <v>80</v>
      </c>
      <c r="I118" s="327"/>
      <c r="J118" s="327">
        <v>300</v>
      </c>
      <c r="K118" s="296">
        <v>2305.6666666666665</v>
      </c>
      <c r="L118" s="338">
        <v>2239</v>
      </c>
      <c r="M118" s="296">
        <f t="shared" si="201"/>
        <v>745.71</v>
      </c>
      <c r="N118" s="296">
        <f t="shared" si="202"/>
        <v>404.69</v>
      </c>
      <c r="O118" s="296">
        <f t="shared" si="203"/>
        <v>23.81</v>
      </c>
      <c r="P118" s="296">
        <f t="shared" si="204"/>
        <v>13.33</v>
      </c>
      <c r="Q118" s="340"/>
      <c r="R118" s="296">
        <f>CEILING(L118*12%,1)</f>
        <v>269</v>
      </c>
      <c r="S118" s="341">
        <f t="shared" si="206"/>
        <v>1050</v>
      </c>
      <c r="T118" s="341">
        <f t="shared" si="207"/>
        <v>787.5</v>
      </c>
      <c r="U118" s="342">
        <v>600</v>
      </c>
      <c r="V118" s="341">
        <f>SUM(E118:I118)+SUM(M118:R118)+U118</f>
        <v>4656.54</v>
      </c>
      <c r="W118" s="343">
        <v>12000</v>
      </c>
      <c r="X118" s="296">
        <f t="shared" si="209"/>
        <v>68215.98</v>
      </c>
      <c r="Y118" s="309">
        <f t="shared" si="191"/>
        <v>179.12</v>
      </c>
      <c r="Z118" s="309">
        <f t="shared" si="192"/>
        <v>44.78</v>
      </c>
      <c r="AA118" s="309">
        <f t="shared" si="193"/>
        <v>11.2</v>
      </c>
      <c r="AB118" s="309">
        <f t="shared" si="194"/>
        <v>235.1</v>
      </c>
      <c r="AC118" s="309">
        <f t="shared" si="195"/>
        <v>290.05</v>
      </c>
      <c r="AD118" s="309">
        <f t="shared" si="196"/>
        <v>72.51</v>
      </c>
      <c r="AE118" s="309">
        <f t="shared" si="197"/>
        <v>18.13</v>
      </c>
      <c r="AF118" s="309">
        <f t="shared" si="198"/>
        <v>380.69</v>
      </c>
      <c r="AG118" s="309">
        <f t="shared" si="199"/>
        <v>145.59</v>
      </c>
      <c r="AH118" s="309"/>
      <c r="AI118" s="322" t="s">
        <v>179</v>
      </c>
    </row>
    <row r="119" spans="1:35" ht="12.75">
      <c r="A119" s="269">
        <v>26</v>
      </c>
      <c r="B119" s="269"/>
      <c r="C119" s="269" t="s">
        <v>182</v>
      </c>
      <c r="D119" s="269" t="s">
        <v>181</v>
      </c>
      <c r="E119" s="333">
        <v>2400</v>
      </c>
      <c r="F119" s="327">
        <v>50</v>
      </c>
      <c r="G119" s="334"/>
      <c r="H119" s="327">
        <v>80</v>
      </c>
      <c r="I119" s="327"/>
      <c r="J119" s="327">
        <v>300</v>
      </c>
      <c r="K119" s="296">
        <v>3005.6666666666665</v>
      </c>
      <c r="L119" s="338">
        <v>2939</v>
      </c>
      <c r="M119" s="296">
        <f t="shared" si="201"/>
        <v>745.71</v>
      </c>
      <c r="N119" s="296">
        <f t="shared" si="202"/>
        <v>404.69</v>
      </c>
      <c r="O119" s="296">
        <f t="shared" si="203"/>
        <v>23.81</v>
      </c>
      <c r="P119" s="296">
        <f t="shared" si="204"/>
        <v>13.33</v>
      </c>
      <c r="Q119" s="340"/>
      <c r="R119" s="296">
        <f>CEILING(L119*12%,1)</f>
        <v>353</v>
      </c>
      <c r="S119" s="341">
        <f t="shared" si="206"/>
        <v>1033.2</v>
      </c>
      <c r="T119" s="341">
        <f t="shared" si="207"/>
        <v>774.9</v>
      </c>
      <c r="U119" s="342">
        <v>600</v>
      </c>
      <c r="V119" s="341">
        <f>SUM(E119:I119)+SUM(M119:R119)+U119</f>
        <v>4670.54</v>
      </c>
      <c r="W119" s="343">
        <v>12000</v>
      </c>
      <c r="X119" s="296">
        <f t="shared" si="209"/>
        <v>68354.57999999999</v>
      </c>
      <c r="Y119" s="309">
        <f t="shared" si="191"/>
        <v>235.12</v>
      </c>
      <c r="Z119" s="309">
        <f t="shared" si="192"/>
        <v>58.78</v>
      </c>
      <c r="AA119" s="309">
        <f t="shared" si="193"/>
        <v>14.7</v>
      </c>
      <c r="AB119" s="309">
        <f t="shared" si="194"/>
        <v>308.59999999999997</v>
      </c>
      <c r="AC119" s="309">
        <f t="shared" si="195"/>
        <v>290.05</v>
      </c>
      <c r="AD119" s="309">
        <f t="shared" si="196"/>
        <v>72.51</v>
      </c>
      <c r="AE119" s="309">
        <f t="shared" si="197"/>
        <v>18.13</v>
      </c>
      <c r="AF119" s="309">
        <f t="shared" si="198"/>
        <v>380.69</v>
      </c>
      <c r="AG119" s="309">
        <f t="shared" si="199"/>
        <v>72.09000000000003</v>
      </c>
      <c r="AH119" s="309"/>
      <c r="AI119" s="322" t="s">
        <v>179</v>
      </c>
    </row>
    <row r="120" spans="1:35" ht="12.75">
      <c r="A120" s="269">
        <v>27</v>
      </c>
      <c r="B120" s="269"/>
      <c r="C120" s="269" t="s">
        <v>183</v>
      </c>
      <c r="D120" s="269" t="s">
        <v>184</v>
      </c>
      <c r="E120" s="333">
        <v>1500</v>
      </c>
      <c r="F120" s="327"/>
      <c r="G120" s="334"/>
      <c r="H120" s="327"/>
      <c r="I120" s="327">
        <v>264</v>
      </c>
      <c r="J120" s="327">
        <v>300</v>
      </c>
      <c r="K120" s="296">
        <f t="shared" si="200"/>
        <v>2064</v>
      </c>
      <c r="L120" s="337"/>
      <c r="M120" s="296"/>
      <c r="N120" s="296"/>
      <c r="O120" s="296"/>
      <c r="P120" s="296"/>
      <c r="Q120" s="296"/>
      <c r="R120" s="296"/>
      <c r="S120" s="296">
        <f t="shared" si="206"/>
        <v>525.36</v>
      </c>
      <c r="T120" s="296"/>
      <c r="U120" s="339"/>
      <c r="V120" s="296">
        <f t="shared" si="208"/>
        <v>2064</v>
      </c>
      <c r="W120" s="339">
        <v>3000</v>
      </c>
      <c r="X120" s="296">
        <f t="shared" si="209"/>
        <v>26793.36</v>
      </c>
      <c r="Y120" s="309">
        <f t="shared" si="191"/>
        <v>0</v>
      </c>
      <c r="Z120" s="309">
        <f t="shared" si="192"/>
        <v>0</v>
      </c>
      <c r="AA120" s="309">
        <f t="shared" si="193"/>
        <v>0</v>
      </c>
      <c r="AB120" s="309">
        <f t="shared" si="194"/>
        <v>0</v>
      </c>
      <c r="AC120" s="309">
        <f t="shared" si="195"/>
        <v>290.05</v>
      </c>
      <c r="AD120" s="309">
        <f t="shared" si="196"/>
        <v>72.51</v>
      </c>
      <c r="AE120" s="309">
        <f t="shared" si="197"/>
        <v>18.13</v>
      </c>
      <c r="AF120" s="309">
        <f t="shared" si="198"/>
        <v>380.69</v>
      </c>
      <c r="AG120" s="309">
        <f t="shared" si="199"/>
        <v>380.69</v>
      </c>
      <c r="AH120" s="309"/>
      <c r="AI120" s="322" t="s">
        <v>185</v>
      </c>
    </row>
    <row r="121" spans="1:35" ht="12.75">
      <c r="A121" s="269">
        <v>28</v>
      </c>
      <c r="B121" s="269"/>
      <c r="C121" s="269" t="s">
        <v>186</v>
      </c>
      <c r="D121" s="269" t="s">
        <v>187</v>
      </c>
      <c r="E121" s="333">
        <v>3540</v>
      </c>
      <c r="F121" s="327">
        <v>190</v>
      </c>
      <c r="G121" s="334"/>
      <c r="H121" s="327">
        <v>120</v>
      </c>
      <c r="I121" s="327">
        <v>264</v>
      </c>
      <c r="J121" s="327">
        <v>300</v>
      </c>
      <c r="K121" s="296">
        <f t="shared" si="200"/>
        <v>4414</v>
      </c>
      <c r="L121" s="337">
        <v>5147.75</v>
      </c>
      <c r="M121" s="296">
        <f t="shared" si="201"/>
        <v>823.64</v>
      </c>
      <c r="N121" s="296">
        <f t="shared" si="202"/>
        <v>437.56</v>
      </c>
      <c r="O121" s="296">
        <f t="shared" si="203"/>
        <v>25.74</v>
      </c>
      <c r="P121" s="296">
        <f t="shared" si="204"/>
        <v>14.41</v>
      </c>
      <c r="Q121" s="296"/>
      <c r="R121" s="296">
        <f t="shared" si="205"/>
        <v>618</v>
      </c>
      <c r="S121" s="296">
        <f t="shared" si="206"/>
        <v>1565.3600000000001</v>
      </c>
      <c r="T121" s="296">
        <f t="shared" si="207"/>
        <v>1174.02</v>
      </c>
      <c r="U121" s="339">
        <v>900</v>
      </c>
      <c r="V121" s="296">
        <f t="shared" si="208"/>
        <v>7233.3499999999985</v>
      </c>
      <c r="W121" s="339">
        <v>16000</v>
      </c>
      <c r="X121" s="296">
        <f t="shared" si="209"/>
        <v>104039.57999999999</v>
      </c>
      <c r="Y121" s="309">
        <f t="shared" si="191"/>
        <v>411.82</v>
      </c>
      <c r="Z121" s="309">
        <f t="shared" si="192"/>
        <v>102.96</v>
      </c>
      <c r="AA121" s="309">
        <f t="shared" si="193"/>
        <v>25.74</v>
      </c>
      <c r="AB121" s="309">
        <f t="shared" si="194"/>
        <v>540.52</v>
      </c>
      <c r="AC121" s="309">
        <f t="shared" si="195"/>
        <v>411.82</v>
      </c>
      <c r="AD121" s="309">
        <f t="shared" si="196"/>
        <v>102.96</v>
      </c>
      <c r="AE121" s="309">
        <f t="shared" si="197"/>
        <v>25.74</v>
      </c>
      <c r="AF121" s="309">
        <f t="shared" si="198"/>
        <v>540.52</v>
      </c>
      <c r="AG121" s="309">
        <f t="shared" si="199"/>
        <v>0</v>
      </c>
      <c r="AH121" s="309"/>
      <c r="AI121" s="322" t="s">
        <v>54</v>
      </c>
    </row>
    <row r="122" spans="1:35" ht="12.75">
      <c r="A122" s="269">
        <v>29</v>
      </c>
      <c r="B122" s="269"/>
      <c r="C122" s="269" t="s">
        <v>188</v>
      </c>
      <c r="D122" s="269" t="s">
        <v>189</v>
      </c>
      <c r="E122" s="333">
        <v>4180</v>
      </c>
      <c r="F122" s="327">
        <v>70</v>
      </c>
      <c r="G122" s="334"/>
      <c r="H122" s="327">
        <v>180</v>
      </c>
      <c r="I122" s="327">
        <v>264</v>
      </c>
      <c r="J122" s="327">
        <v>300</v>
      </c>
      <c r="K122" s="296">
        <f t="shared" si="200"/>
        <v>4994</v>
      </c>
      <c r="L122" s="337">
        <v>5929</v>
      </c>
      <c r="M122" s="296">
        <f t="shared" si="201"/>
        <v>948.64</v>
      </c>
      <c r="N122" s="296">
        <f t="shared" si="202"/>
        <v>503.97</v>
      </c>
      <c r="O122" s="296">
        <f t="shared" si="203"/>
        <v>29.65</v>
      </c>
      <c r="P122" s="296">
        <f t="shared" si="204"/>
        <v>16.6</v>
      </c>
      <c r="Q122" s="296"/>
      <c r="R122" s="296">
        <f t="shared" si="205"/>
        <v>712</v>
      </c>
      <c r="S122" s="296">
        <f t="shared" si="206"/>
        <v>1892.56</v>
      </c>
      <c r="T122" s="296">
        <f t="shared" si="207"/>
        <v>1419.4199999999998</v>
      </c>
      <c r="U122" s="339">
        <v>1100</v>
      </c>
      <c r="V122" s="296">
        <f t="shared" si="208"/>
        <v>8304.859999999999</v>
      </c>
      <c r="W122" s="339">
        <v>23000</v>
      </c>
      <c r="X122" s="296">
        <f t="shared" si="209"/>
        <v>124470.29999999997</v>
      </c>
      <c r="Y122" s="309">
        <f t="shared" si="191"/>
        <v>474.32</v>
      </c>
      <c r="Z122" s="309">
        <f t="shared" si="192"/>
        <v>118.58</v>
      </c>
      <c r="AA122" s="309">
        <f t="shared" si="193"/>
        <v>29.65</v>
      </c>
      <c r="AB122" s="309">
        <f t="shared" si="194"/>
        <v>622.55</v>
      </c>
      <c r="AC122" s="309">
        <f t="shared" si="195"/>
        <v>474.32</v>
      </c>
      <c r="AD122" s="309">
        <f t="shared" si="196"/>
        <v>118.58</v>
      </c>
      <c r="AE122" s="309">
        <f t="shared" si="197"/>
        <v>29.65</v>
      </c>
      <c r="AF122" s="309">
        <f t="shared" si="198"/>
        <v>622.55</v>
      </c>
      <c r="AG122" s="309">
        <f t="shared" si="199"/>
        <v>0</v>
      </c>
      <c r="AH122" s="309"/>
      <c r="AI122" s="322" t="s">
        <v>54</v>
      </c>
    </row>
    <row r="123" spans="1:35" ht="12.75">
      <c r="A123" s="269">
        <v>30</v>
      </c>
      <c r="B123" s="269"/>
      <c r="C123" s="269" t="s">
        <v>190</v>
      </c>
      <c r="D123" s="269" t="s">
        <v>191</v>
      </c>
      <c r="E123" s="333">
        <v>3000</v>
      </c>
      <c r="F123" s="327">
        <v>70</v>
      </c>
      <c r="G123" s="334"/>
      <c r="H123" s="327">
        <v>100</v>
      </c>
      <c r="I123" s="327">
        <v>264</v>
      </c>
      <c r="J123" s="327">
        <v>300</v>
      </c>
      <c r="K123" s="296">
        <f t="shared" si="200"/>
        <v>3734</v>
      </c>
      <c r="L123" s="337">
        <v>4382.333333333333</v>
      </c>
      <c r="M123" s="296">
        <f t="shared" si="201"/>
        <v>745.71</v>
      </c>
      <c r="N123" s="296">
        <f t="shared" si="202"/>
        <v>404.69</v>
      </c>
      <c r="O123" s="296">
        <f t="shared" si="203"/>
        <v>23.81</v>
      </c>
      <c r="P123" s="296">
        <f t="shared" si="204"/>
        <v>13.33</v>
      </c>
      <c r="Q123" s="296"/>
      <c r="R123" s="296">
        <f t="shared" si="205"/>
        <v>526</v>
      </c>
      <c r="S123" s="296">
        <f t="shared" si="206"/>
        <v>1338.16</v>
      </c>
      <c r="T123" s="296">
        <f t="shared" si="207"/>
        <v>1003.62</v>
      </c>
      <c r="U123" s="339">
        <v>800</v>
      </c>
      <c r="V123" s="296">
        <f t="shared" si="208"/>
        <v>6247.54</v>
      </c>
      <c r="W123" s="339">
        <v>14000</v>
      </c>
      <c r="X123" s="296">
        <f t="shared" si="209"/>
        <v>89812.26</v>
      </c>
      <c r="Y123" s="309">
        <f t="shared" si="191"/>
        <v>350.59</v>
      </c>
      <c r="Z123" s="309">
        <f t="shared" si="192"/>
        <v>87.65</v>
      </c>
      <c r="AA123" s="309">
        <f t="shared" si="193"/>
        <v>21.91</v>
      </c>
      <c r="AB123" s="309">
        <f t="shared" si="194"/>
        <v>460.15000000000003</v>
      </c>
      <c r="AC123" s="309">
        <f t="shared" si="195"/>
        <v>350.59</v>
      </c>
      <c r="AD123" s="309">
        <f t="shared" si="196"/>
        <v>87.65</v>
      </c>
      <c r="AE123" s="309">
        <f t="shared" si="197"/>
        <v>21.91</v>
      </c>
      <c r="AF123" s="309">
        <f t="shared" si="198"/>
        <v>460.15000000000003</v>
      </c>
      <c r="AG123" s="309">
        <f t="shared" si="199"/>
        <v>0</v>
      </c>
      <c r="AH123" s="309"/>
      <c r="AI123" s="322" t="s">
        <v>54</v>
      </c>
    </row>
    <row r="124" spans="1:35" ht="12.75">
      <c r="A124" s="269">
        <v>31</v>
      </c>
      <c r="B124" s="269"/>
      <c r="C124" s="269" t="s">
        <v>192</v>
      </c>
      <c r="D124" s="269" t="s">
        <v>193</v>
      </c>
      <c r="E124" s="333">
        <v>3000</v>
      </c>
      <c r="F124" s="327">
        <v>170</v>
      </c>
      <c r="G124" s="334"/>
      <c r="H124" s="327">
        <v>100</v>
      </c>
      <c r="I124" s="327">
        <v>264</v>
      </c>
      <c r="J124" s="327">
        <v>300</v>
      </c>
      <c r="K124" s="296">
        <f t="shared" si="200"/>
        <v>3834</v>
      </c>
      <c r="L124" s="337">
        <v>4482.333333333333</v>
      </c>
      <c r="M124" s="296">
        <f t="shared" si="201"/>
        <v>745.71</v>
      </c>
      <c r="N124" s="296">
        <f t="shared" si="202"/>
        <v>404.69</v>
      </c>
      <c r="O124" s="296">
        <f t="shared" si="203"/>
        <v>23.81</v>
      </c>
      <c r="P124" s="296">
        <f t="shared" si="204"/>
        <v>13.33</v>
      </c>
      <c r="Q124" s="296"/>
      <c r="R124" s="296">
        <f t="shared" si="205"/>
        <v>538</v>
      </c>
      <c r="S124" s="296">
        <f t="shared" si="206"/>
        <v>1362.16</v>
      </c>
      <c r="T124" s="296">
        <f t="shared" si="207"/>
        <v>1021.62</v>
      </c>
      <c r="U124" s="339">
        <v>800</v>
      </c>
      <c r="V124" s="296">
        <f t="shared" si="208"/>
        <v>6359.539999999998</v>
      </c>
      <c r="W124" s="339">
        <v>14000</v>
      </c>
      <c r="X124" s="296">
        <f t="shared" si="209"/>
        <v>91198.25999999998</v>
      </c>
      <c r="Y124" s="309">
        <f t="shared" si="191"/>
        <v>358.59</v>
      </c>
      <c r="Z124" s="309">
        <f t="shared" si="192"/>
        <v>89.65</v>
      </c>
      <c r="AA124" s="309">
        <f t="shared" si="193"/>
        <v>22.41</v>
      </c>
      <c r="AB124" s="309">
        <f t="shared" si="194"/>
        <v>470.65000000000003</v>
      </c>
      <c r="AC124" s="309">
        <f t="shared" si="195"/>
        <v>358.59</v>
      </c>
      <c r="AD124" s="309">
        <f t="shared" si="196"/>
        <v>89.65</v>
      </c>
      <c r="AE124" s="309">
        <f t="shared" si="197"/>
        <v>22.41</v>
      </c>
      <c r="AF124" s="309">
        <f t="shared" si="198"/>
        <v>470.65000000000003</v>
      </c>
      <c r="AG124" s="309">
        <f t="shared" si="199"/>
        <v>0</v>
      </c>
      <c r="AH124" s="309"/>
      <c r="AI124" s="322" t="s">
        <v>54</v>
      </c>
    </row>
    <row r="125" spans="1:35" ht="12.75">
      <c r="A125" s="269">
        <v>32</v>
      </c>
      <c r="B125" s="269"/>
      <c r="C125" s="269" t="s">
        <v>194</v>
      </c>
      <c r="D125" s="269" t="s">
        <v>191</v>
      </c>
      <c r="E125" s="333">
        <v>3000</v>
      </c>
      <c r="F125" s="327">
        <v>120</v>
      </c>
      <c r="G125" s="334"/>
      <c r="H125" s="327">
        <v>100</v>
      </c>
      <c r="I125" s="327">
        <v>264</v>
      </c>
      <c r="J125" s="327">
        <v>300</v>
      </c>
      <c r="K125" s="296">
        <f t="shared" si="200"/>
        <v>3784</v>
      </c>
      <c r="L125" s="337">
        <v>4432.333333333333</v>
      </c>
      <c r="M125" s="296">
        <f t="shared" si="201"/>
        <v>745.71</v>
      </c>
      <c r="N125" s="296">
        <f t="shared" si="202"/>
        <v>404.69</v>
      </c>
      <c r="O125" s="296">
        <f t="shared" si="203"/>
        <v>23.81</v>
      </c>
      <c r="P125" s="296">
        <f t="shared" si="204"/>
        <v>13.33</v>
      </c>
      <c r="Q125" s="296"/>
      <c r="R125" s="296">
        <f t="shared" si="205"/>
        <v>532</v>
      </c>
      <c r="S125" s="296">
        <f t="shared" si="206"/>
        <v>1350.16</v>
      </c>
      <c r="T125" s="296">
        <f t="shared" si="207"/>
        <v>1012.62</v>
      </c>
      <c r="U125" s="339">
        <v>800</v>
      </c>
      <c r="V125" s="296">
        <f t="shared" si="208"/>
        <v>6303.539999999998</v>
      </c>
      <c r="W125" s="339">
        <v>14000</v>
      </c>
      <c r="X125" s="296">
        <f t="shared" si="209"/>
        <v>90505.25999999998</v>
      </c>
      <c r="Y125" s="309">
        <f t="shared" si="191"/>
        <v>354.59</v>
      </c>
      <c r="Z125" s="309">
        <f t="shared" si="192"/>
        <v>88.65</v>
      </c>
      <c r="AA125" s="309">
        <f t="shared" si="193"/>
        <v>22.16</v>
      </c>
      <c r="AB125" s="309">
        <f t="shared" si="194"/>
        <v>465.40000000000003</v>
      </c>
      <c r="AC125" s="309">
        <f t="shared" si="195"/>
        <v>354.59</v>
      </c>
      <c r="AD125" s="309">
        <f t="shared" si="196"/>
        <v>88.65</v>
      </c>
      <c r="AE125" s="309">
        <f t="shared" si="197"/>
        <v>22.16</v>
      </c>
      <c r="AF125" s="309">
        <f t="shared" si="198"/>
        <v>465.40000000000003</v>
      </c>
      <c r="AG125" s="309">
        <f t="shared" si="199"/>
        <v>0</v>
      </c>
      <c r="AH125" s="309"/>
      <c r="AI125" s="322" t="s">
        <v>54</v>
      </c>
    </row>
    <row r="126" spans="1:35" ht="12.75">
      <c r="A126" s="269">
        <v>33</v>
      </c>
      <c r="B126" s="269"/>
      <c r="C126" s="269" t="s">
        <v>195</v>
      </c>
      <c r="D126" s="269" t="s">
        <v>191</v>
      </c>
      <c r="E126" s="333">
        <v>3000</v>
      </c>
      <c r="F126" s="327">
        <v>100</v>
      </c>
      <c r="G126" s="334"/>
      <c r="H126" s="327">
        <v>100</v>
      </c>
      <c r="I126" s="327">
        <v>264</v>
      </c>
      <c r="J126" s="327">
        <v>300</v>
      </c>
      <c r="K126" s="296">
        <f t="shared" si="200"/>
        <v>3764</v>
      </c>
      <c r="L126" s="337">
        <v>4412.333333333333</v>
      </c>
      <c r="M126" s="296">
        <f t="shared" si="201"/>
        <v>745.71</v>
      </c>
      <c r="N126" s="296">
        <f t="shared" si="202"/>
        <v>404.69</v>
      </c>
      <c r="O126" s="296">
        <f t="shared" si="203"/>
        <v>23.81</v>
      </c>
      <c r="P126" s="296">
        <f t="shared" si="204"/>
        <v>13.33</v>
      </c>
      <c r="Q126" s="296"/>
      <c r="R126" s="296">
        <f t="shared" si="205"/>
        <v>530</v>
      </c>
      <c r="S126" s="296">
        <f t="shared" si="206"/>
        <v>1345.3600000000001</v>
      </c>
      <c r="T126" s="296">
        <f t="shared" si="207"/>
        <v>1009.02</v>
      </c>
      <c r="U126" s="339">
        <v>800</v>
      </c>
      <c r="V126" s="296">
        <f t="shared" si="208"/>
        <v>6281.54</v>
      </c>
      <c r="W126" s="339">
        <v>14000</v>
      </c>
      <c r="X126" s="296">
        <f t="shared" si="209"/>
        <v>90232.86</v>
      </c>
      <c r="Y126" s="309">
        <f t="shared" si="191"/>
        <v>352.99</v>
      </c>
      <c r="Z126" s="309">
        <f t="shared" si="192"/>
        <v>88.25</v>
      </c>
      <c r="AA126" s="309">
        <f t="shared" si="193"/>
        <v>22.06</v>
      </c>
      <c r="AB126" s="309">
        <f t="shared" si="194"/>
        <v>463.3</v>
      </c>
      <c r="AC126" s="309">
        <f t="shared" si="195"/>
        <v>352.99</v>
      </c>
      <c r="AD126" s="309">
        <f t="shared" si="196"/>
        <v>88.25</v>
      </c>
      <c r="AE126" s="309">
        <f t="shared" si="197"/>
        <v>22.06</v>
      </c>
      <c r="AF126" s="309">
        <f t="shared" si="198"/>
        <v>463.3</v>
      </c>
      <c r="AG126" s="309">
        <f t="shared" si="199"/>
        <v>0</v>
      </c>
      <c r="AH126" s="309"/>
      <c r="AI126" s="322" t="s">
        <v>54</v>
      </c>
    </row>
    <row r="127" spans="1:35" ht="12.75">
      <c r="A127" s="269">
        <v>34</v>
      </c>
      <c r="B127" s="269"/>
      <c r="C127" s="269" t="s">
        <v>196</v>
      </c>
      <c r="D127" s="269" t="s">
        <v>191</v>
      </c>
      <c r="E127" s="333">
        <v>3000</v>
      </c>
      <c r="F127" s="327">
        <v>80</v>
      </c>
      <c r="G127" s="334"/>
      <c r="H127" s="327">
        <v>100</v>
      </c>
      <c r="I127" s="327">
        <v>264</v>
      </c>
      <c r="J127" s="327">
        <v>300</v>
      </c>
      <c r="K127" s="296">
        <f aca="true" t="shared" si="210" ref="K127:K158">SUM(E127:J127)</f>
        <v>3744</v>
      </c>
      <c r="L127" s="337">
        <v>4382.333333333333</v>
      </c>
      <c r="M127" s="296">
        <f aca="true" t="shared" si="211" ref="M127:M158">ROUND(IF(L127&gt;4660.7,L127,4660.7)*16%,2)</f>
        <v>745.71</v>
      </c>
      <c r="N127" s="296">
        <f aca="true" t="shared" si="212" ref="N127:N158">ROUND(IF(L127&gt;4761.1,L127,4761.1)*8.5%,2)</f>
        <v>404.69</v>
      </c>
      <c r="O127" s="296">
        <f aca="true" t="shared" si="213" ref="O127:O158">ROUND(IF(L127&gt;4761.1,L127,4761.1)*0.5%,2)</f>
        <v>23.81</v>
      </c>
      <c r="P127" s="296">
        <f aca="true" t="shared" si="214" ref="P127:P158">ROUND(IF(L127&gt;4761.1,L127,4761.1)*0.28%,2)</f>
        <v>13.33</v>
      </c>
      <c r="Q127" s="296"/>
      <c r="R127" s="296">
        <f t="shared" si="205"/>
        <v>526</v>
      </c>
      <c r="S127" s="296">
        <f aca="true" t="shared" si="215" ref="S127:S158">((SUM(E127:I127)+U127)*12+J127*7+W127)*2%</f>
        <v>1340.56</v>
      </c>
      <c r="T127" s="296">
        <f aca="true" t="shared" si="216" ref="T127:T158">((SUM(E127:I127)+U127)*12+J127*7+W127)*1.5%</f>
        <v>1005.42</v>
      </c>
      <c r="U127" s="339">
        <v>800</v>
      </c>
      <c r="V127" s="296">
        <f aca="true" t="shared" si="217" ref="V127:V158">SUM(K127:R127)-L127+U127</f>
        <v>6257.54</v>
      </c>
      <c r="W127" s="339">
        <v>14000</v>
      </c>
      <c r="X127" s="296">
        <f aca="true" t="shared" si="218" ref="X127:X158">V127*12+W127+S127+T127-J127*5</f>
        <v>89936.45999999999</v>
      </c>
      <c r="Y127" s="309">
        <f t="shared" si="191"/>
        <v>350.59</v>
      </c>
      <c r="Z127" s="309">
        <f t="shared" si="192"/>
        <v>87.65</v>
      </c>
      <c r="AA127" s="309">
        <f t="shared" si="193"/>
        <v>21.91</v>
      </c>
      <c r="AB127" s="309">
        <f t="shared" si="194"/>
        <v>460.15000000000003</v>
      </c>
      <c r="AC127" s="309">
        <f t="shared" si="195"/>
        <v>350.59</v>
      </c>
      <c r="AD127" s="309">
        <f t="shared" si="196"/>
        <v>87.65</v>
      </c>
      <c r="AE127" s="309">
        <f t="shared" si="197"/>
        <v>21.91</v>
      </c>
      <c r="AF127" s="309">
        <f t="shared" si="198"/>
        <v>460.15000000000003</v>
      </c>
      <c r="AG127" s="309">
        <f t="shared" si="199"/>
        <v>0</v>
      </c>
      <c r="AH127" s="309"/>
      <c r="AI127" s="322" t="s">
        <v>54</v>
      </c>
    </row>
    <row r="128" spans="1:35" ht="12.75">
      <c r="A128" s="269">
        <v>35</v>
      </c>
      <c r="B128" s="269"/>
      <c r="C128" s="269" t="s">
        <v>197</v>
      </c>
      <c r="D128" s="269" t="s">
        <v>191</v>
      </c>
      <c r="E128" s="333">
        <v>3000</v>
      </c>
      <c r="F128" s="327">
        <v>80</v>
      </c>
      <c r="G128" s="334"/>
      <c r="H128" s="327">
        <v>100</v>
      </c>
      <c r="I128" s="327">
        <v>264</v>
      </c>
      <c r="J128" s="327">
        <v>300</v>
      </c>
      <c r="K128" s="296">
        <f t="shared" si="210"/>
        <v>3744</v>
      </c>
      <c r="L128" s="337">
        <v>4392.333333333333</v>
      </c>
      <c r="M128" s="296">
        <f t="shared" si="211"/>
        <v>745.71</v>
      </c>
      <c r="N128" s="296">
        <f t="shared" si="212"/>
        <v>404.69</v>
      </c>
      <c r="O128" s="296">
        <f t="shared" si="213"/>
        <v>23.81</v>
      </c>
      <c r="P128" s="296">
        <f t="shared" si="214"/>
        <v>13.33</v>
      </c>
      <c r="Q128" s="296"/>
      <c r="R128" s="296">
        <f t="shared" si="205"/>
        <v>528</v>
      </c>
      <c r="S128" s="296">
        <f t="shared" si="215"/>
        <v>1340.56</v>
      </c>
      <c r="T128" s="296">
        <f t="shared" si="216"/>
        <v>1005.42</v>
      </c>
      <c r="U128" s="339">
        <v>800</v>
      </c>
      <c r="V128" s="296">
        <f t="shared" si="217"/>
        <v>6259.54</v>
      </c>
      <c r="W128" s="339">
        <v>14000</v>
      </c>
      <c r="X128" s="296">
        <f t="shared" si="218"/>
        <v>89960.45999999999</v>
      </c>
      <c r="Y128" s="309">
        <f t="shared" si="191"/>
        <v>351.39</v>
      </c>
      <c r="Z128" s="309">
        <f t="shared" si="192"/>
        <v>87.85</v>
      </c>
      <c r="AA128" s="309">
        <f t="shared" si="193"/>
        <v>21.96</v>
      </c>
      <c r="AB128" s="309">
        <f t="shared" si="194"/>
        <v>461.2</v>
      </c>
      <c r="AC128" s="309">
        <f t="shared" si="195"/>
        <v>351.39</v>
      </c>
      <c r="AD128" s="309">
        <f t="shared" si="196"/>
        <v>87.85</v>
      </c>
      <c r="AE128" s="309">
        <f t="shared" si="197"/>
        <v>21.96</v>
      </c>
      <c r="AF128" s="309">
        <f t="shared" si="198"/>
        <v>461.2</v>
      </c>
      <c r="AG128" s="309">
        <f t="shared" si="199"/>
        <v>0</v>
      </c>
      <c r="AH128" s="309"/>
      <c r="AI128" s="322" t="s">
        <v>54</v>
      </c>
    </row>
    <row r="129" spans="1:35" ht="12.75">
      <c r="A129" s="269">
        <v>36</v>
      </c>
      <c r="B129" s="269"/>
      <c r="C129" s="269" t="s">
        <v>198</v>
      </c>
      <c r="D129" s="269" t="s">
        <v>191</v>
      </c>
      <c r="E129" s="333">
        <v>3000</v>
      </c>
      <c r="F129" s="327">
        <v>180</v>
      </c>
      <c r="G129" s="334"/>
      <c r="H129" s="327">
        <v>100</v>
      </c>
      <c r="I129" s="327">
        <v>264</v>
      </c>
      <c r="J129" s="327">
        <v>300</v>
      </c>
      <c r="K129" s="296">
        <f t="shared" si="210"/>
        <v>3844</v>
      </c>
      <c r="L129" s="337">
        <v>4492.333333333333</v>
      </c>
      <c r="M129" s="296">
        <f t="shared" si="211"/>
        <v>745.71</v>
      </c>
      <c r="N129" s="296">
        <f t="shared" si="212"/>
        <v>404.69</v>
      </c>
      <c r="O129" s="296">
        <f t="shared" si="213"/>
        <v>23.81</v>
      </c>
      <c r="P129" s="296">
        <f t="shared" si="214"/>
        <v>13.33</v>
      </c>
      <c r="Q129" s="296"/>
      <c r="R129" s="296">
        <f t="shared" si="205"/>
        <v>540</v>
      </c>
      <c r="S129" s="296">
        <f t="shared" si="215"/>
        <v>1364.56</v>
      </c>
      <c r="T129" s="296">
        <f t="shared" si="216"/>
        <v>1023.42</v>
      </c>
      <c r="U129" s="339">
        <v>800</v>
      </c>
      <c r="V129" s="296">
        <f t="shared" si="217"/>
        <v>6371.539999999998</v>
      </c>
      <c r="W129" s="339">
        <v>14000</v>
      </c>
      <c r="X129" s="296">
        <f t="shared" si="218"/>
        <v>91346.45999999998</v>
      </c>
      <c r="Y129" s="309">
        <f t="shared" si="191"/>
        <v>359.39</v>
      </c>
      <c r="Z129" s="309">
        <f t="shared" si="192"/>
        <v>89.85</v>
      </c>
      <c r="AA129" s="309">
        <f t="shared" si="193"/>
        <v>22.46</v>
      </c>
      <c r="AB129" s="309">
        <f t="shared" si="194"/>
        <v>471.7</v>
      </c>
      <c r="AC129" s="309">
        <f t="shared" si="195"/>
        <v>359.39</v>
      </c>
      <c r="AD129" s="309">
        <f t="shared" si="196"/>
        <v>89.85</v>
      </c>
      <c r="AE129" s="309">
        <f t="shared" si="197"/>
        <v>22.46</v>
      </c>
      <c r="AF129" s="309">
        <f t="shared" si="198"/>
        <v>471.7</v>
      </c>
      <c r="AG129" s="309">
        <f t="shared" si="199"/>
        <v>0</v>
      </c>
      <c r="AH129" s="309"/>
      <c r="AI129" s="322" t="s">
        <v>54</v>
      </c>
    </row>
    <row r="130" spans="1:35" ht="12.75">
      <c r="A130" s="269">
        <v>37</v>
      </c>
      <c r="B130" s="269"/>
      <c r="C130" s="269" t="s">
        <v>199</v>
      </c>
      <c r="D130" s="269" t="s">
        <v>187</v>
      </c>
      <c r="E130" s="333">
        <v>2400</v>
      </c>
      <c r="F130" s="327">
        <v>140</v>
      </c>
      <c r="G130" s="334"/>
      <c r="H130" s="327">
        <v>80</v>
      </c>
      <c r="I130" s="327">
        <v>264</v>
      </c>
      <c r="J130" s="327">
        <v>300</v>
      </c>
      <c r="K130" s="296">
        <f t="shared" si="210"/>
        <v>3184</v>
      </c>
      <c r="L130" s="337">
        <v>3635.6666666666665</v>
      </c>
      <c r="M130" s="296">
        <f t="shared" si="211"/>
        <v>745.71</v>
      </c>
      <c r="N130" s="296">
        <f t="shared" si="212"/>
        <v>404.69</v>
      </c>
      <c r="O130" s="296">
        <f t="shared" si="213"/>
        <v>23.81</v>
      </c>
      <c r="P130" s="296">
        <f t="shared" si="214"/>
        <v>13.33</v>
      </c>
      <c r="Q130" s="296"/>
      <c r="R130" s="296">
        <f t="shared" si="205"/>
        <v>437</v>
      </c>
      <c r="S130" s="296">
        <f t="shared" si="215"/>
        <v>1118.16</v>
      </c>
      <c r="T130" s="296">
        <f t="shared" si="216"/>
        <v>838.62</v>
      </c>
      <c r="U130" s="339">
        <v>600</v>
      </c>
      <c r="V130" s="296">
        <f t="shared" si="217"/>
        <v>5408.539999999999</v>
      </c>
      <c r="W130" s="339">
        <v>12000</v>
      </c>
      <c r="X130" s="296">
        <f t="shared" si="218"/>
        <v>77359.25999999998</v>
      </c>
      <c r="Y130" s="309">
        <f t="shared" si="191"/>
        <v>290.85</v>
      </c>
      <c r="Z130" s="309">
        <f t="shared" si="192"/>
        <v>72.71</v>
      </c>
      <c r="AA130" s="309">
        <f t="shared" si="193"/>
        <v>18.18</v>
      </c>
      <c r="AB130" s="309">
        <f t="shared" si="194"/>
        <v>381.74</v>
      </c>
      <c r="AC130" s="309">
        <f t="shared" si="195"/>
        <v>290.85</v>
      </c>
      <c r="AD130" s="309">
        <f t="shared" si="196"/>
        <v>72.71</v>
      </c>
      <c r="AE130" s="309">
        <f t="shared" si="197"/>
        <v>18.18</v>
      </c>
      <c r="AF130" s="309">
        <f t="shared" si="198"/>
        <v>381.74</v>
      </c>
      <c r="AG130" s="309">
        <f t="shared" si="199"/>
        <v>0</v>
      </c>
      <c r="AH130" s="309"/>
      <c r="AI130" s="322" t="s">
        <v>54</v>
      </c>
    </row>
    <row r="131" spans="1:35" ht="12.75">
      <c r="A131" s="269">
        <v>38</v>
      </c>
      <c r="B131" s="269"/>
      <c r="C131" s="269" t="s">
        <v>200</v>
      </c>
      <c r="D131" s="269" t="s">
        <v>201</v>
      </c>
      <c r="E131" s="333">
        <v>2910</v>
      </c>
      <c r="F131" s="327">
        <v>170</v>
      </c>
      <c r="G131" s="334"/>
      <c r="H131" s="327">
        <v>80</v>
      </c>
      <c r="I131" s="327">
        <v>264</v>
      </c>
      <c r="J131" s="327">
        <v>300</v>
      </c>
      <c r="K131" s="296">
        <f t="shared" si="210"/>
        <v>3724</v>
      </c>
      <c r="L131" s="337">
        <v>4160.666666666667</v>
      </c>
      <c r="M131" s="296">
        <f t="shared" si="211"/>
        <v>745.71</v>
      </c>
      <c r="N131" s="296">
        <f t="shared" si="212"/>
        <v>404.69</v>
      </c>
      <c r="O131" s="296">
        <f t="shared" si="213"/>
        <v>23.81</v>
      </c>
      <c r="P131" s="296">
        <f t="shared" si="214"/>
        <v>13.33</v>
      </c>
      <c r="Q131" s="296"/>
      <c r="R131" s="296">
        <f t="shared" si="205"/>
        <v>500</v>
      </c>
      <c r="S131" s="296">
        <f t="shared" si="215"/>
        <v>1247.76</v>
      </c>
      <c r="T131" s="296">
        <f t="shared" si="216"/>
        <v>935.8199999999999</v>
      </c>
      <c r="U131" s="339">
        <v>600</v>
      </c>
      <c r="V131" s="296">
        <f t="shared" si="217"/>
        <v>6011.54</v>
      </c>
      <c r="W131" s="339">
        <v>12000</v>
      </c>
      <c r="X131" s="296">
        <f t="shared" si="218"/>
        <v>84822.06</v>
      </c>
      <c r="Y131" s="309">
        <f t="shared" si="191"/>
        <v>332.85</v>
      </c>
      <c r="Z131" s="309">
        <f t="shared" si="192"/>
        <v>83.21</v>
      </c>
      <c r="AA131" s="309">
        <f t="shared" si="193"/>
        <v>20.8</v>
      </c>
      <c r="AB131" s="309">
        <f t="shared" si="194"/>
        <v>436.86</v>
      </c>
      <c r="AC131" s="309">
        <f t="shared" si="195"/>
        <v>332.85</v>
      </c>
      <c r="AD131" s="309">
        <f t="shared" si="196"/>
        <v>83.21</v>
      </c>
      <c r="AE131" s="309">
        <f t="shared" si="197"/>
        <v>20.8</v>
      </c>
      <c r="AF131" s="309">
        <f t="shared" si="198"/>
        <v>436.86</v>
      </c>
      <c r="AG131" s="309">
        <f t="shared" si="199"/>
        <v>0</v>
      </c>
      <c r="AH131" s="309"/>
      <c r="AI131" s="322" t="s">
        <v>54</v>
      </c>
    </row>
    <row r="132" spans="1:35" ht="12.75">
      <c r="A132" s="269">
        <v>39</v>
      </c>
      <c r="B132" s="269"/>
      <c r="C132" s="269" t="s">
        <v>202</v>
      </c>
      <c r="D132" s="269" t="s">
        <v>201</v>
      </c>
      <c r="E132" s="333">
        <v>2910</v>
      </c>
      <c r="F132" s="327">
        <v>80</v>
      </c>
      <c r="G132" s="334"/>
      <c r="H132" s="327">
        <v>80</v>
      </c>
      <c r="I132" s="327">
        <v>264</v>
      </c>
      <c r="J132" s="327">
        <v>300</v>
      </c>
      <c r="K132" s="296">
        <f t="shared" si="210"/>
        <v>3634</v>
      </c>
      <c r="L132" s="337">
        <v>4070.6666666666665</v>
      </c>
      <c r="M132" s="296">
        <f t="shared" si="211"/>
        <v>745.71</v>
      </c>
      <c r="N132" s="296">
        <f t="shared" si="212"/>
        <v>404.69</v>
      </c>
      <c r="O132" s="296">
        <f t="shared" si="213"/>
        <v>23.81</v>
      </c>
      <c r="P132" s="296">
        <f t="shared" si="214"/>
        <v>13.33</v>
      </c>
      <c r="Q132" s="296"/>
      <c r="R132" s="296">
        <f t="shared" si="205"/>
        <v>489</v>
      </c>
      <c r="S132" s="296">
        <f t="shared" si="215"/>
        <v>1226.16</v>
      </c>
      <c r="T132" s="296">
        <f t="shared" si="216"/>
        <v>919.62</v>
      </c>
      <c r="U132" s="339">
        <v>600</v>
      </c>
      <c r="V132" s="296">
        <f t="shared" si="217"/>
        <v>5910.540000000001</v>
      </c>
      <c r="W132" s="339">
        <v>12000</v>
      </c>
      <c r="X132" s="296">
        <f t="shared" si="218"/>
        <v>83572.26000000001</v>
      </c>
      <c r="Y132" s="309">
        <f t="shared" si="191"/>
        <v>325.65</v>
      </c>
      <c r="Z132" s="309">
        <f t="shared" si="192"/>
        <v>81.41</v>
      </c>
      <c r="AA132" s="309">
        <f t="shared" si="193"/>
        <v>20.35</v>
      </c>
      <c r="AB132" s="309">
        <f t="shared" si="194"/>
        <v>427.40999999999997</v>
      </c>
      <c r="AC132" s="309">
        <f t="shared" si="195"/>
        <v>325.65</v>
      </c>
      <c r="AD132" s="309">
        <f t="shared" si="196"/>
        <v>81.41</v>
      </c>
      <c r="AE132" s="309">
        <f t="shared" si="197"/>
        <v>20.35</v>
      </c>
      <c r="AF132" s="309">
        <f t="shared" si="198"/>
        <v>427.40999999999997</v>
      </c>
      <c r="AG132" s="309">
        <f t="shared" si="199"/>
        <v>0</v>
      </c>
      <c r="AH132" s="309"/>
      <c r="AI132" s="322" t="s">
        <v>54</v>
      </c>
    </row>
    <row r="133" spans="1:35" ht="12.75">
      <c r="A133" s="269">
        <v>40</v>
      </c>
      <c r="B133" s="269"/>
      <c r="C133" s="269" t="s">
        <v>203</v>
      </c>
      <c r="D133" s="269" t="s">
        <v>201</v>
      </c>
      <c r="E133" s="333">
        <v>2910</v>
      </c>
      <c r="F133" s="327">
        <v>80</v>
      </c>
      <c r="G133" s="334"/>
      <c r="H133" s="327">
        <v>80</v>
      </c>
      <c r="I133" s="327">
        <v>264</v>
      </c>
      <c r="J133" s="327">
        <v>300</v>
      </c>
      <c r="K133" s="296">
        <f t="shared" si="210"/>
        <v>3634</v>
      </c>
      <c r="L133" s="337">
        <v>4078.1666666666665</v>
      </c>
      <c r="M133" s="296">
        <f t="shared" si="211"/>
        <v>745.71</v>
      </c>
      <c r="N133" s="296">
        <f t="shared" si="212"/>
        <v>404.69</v>
      </c>
      <c r="O133" s="296">
        <f t="shared" si="213"/>
        <v>23.81</v>
      </c>
      <c r="P133" s="296">
        <f t="shared" si="214"/>
        <v>13.33</v>
      </c>
      <c r="Q133" s="296"/>
      <c r="R133" s="296">
        <f t="shared" si="205"/>
        <v>490</v>
      </c>
      <c r="S133" s="296">
        <f t="shared" si="215"/>
        <v>1226.16</v>
      </c>
      <c r="T133" s="296">
        <f t="shared" si="216"/>
        <v>919.62</v>
      </c>
      <c r="U133" s="339">
        <v>600</v>
      </c>
      <c r="V133" s="296">
        <f t="shared" si="217"/>
        <v>5911.540000000001</v>
      </c>
      <c r="W133" s="339">
        <v>12000</v>
      </c>
      <c r="X133" s="296">
        <f t="shared" si="218"/>
        <v>83584.26000000001</v>
      </c>
      <c r="Y133" s="309">
        <f t="shared" si="191"/>
        <v>326.25</v>
      </c>
      <c r="Z133" s="309">
        <f t="shared" si="192"/>
        <v>81.56</v>
      </c>
      <c r="AA133" s="309">
        <f t="shared" si="193"/>
        <v>20.39</v>
      </c>
      <c r="AB133" s="309">
        <f t="shared" si="194"/>
        <v>428.2</v>
      </c>
      <c r="AC133" s="309">
        <f t="shared" si="195"/>
        <v>326.25</v>
      </c>
      <c r="AD133" s="309">
        <f t="shared" si="196"/>
        <v>81.56</v>
      </c>
      <c r="AE133" s="309">
        <f t="shared" si="197"/>
        <v>20.39</v>
      </c>
      <c r="AF133" s="309">
        <f t="shared" si="198"/>
        <v>428.2</v>
      </c>
      <c r="AG133" s="309">
        <f t="shared" si="199"/>
        <v>0</v>
      </c>
      <c r="AH133" s="309"/>
      <c r="AI133" s="322" t="s">
        <v>54</v>
      </c>
    </row>
    <row r="134" spans="1:35" ht="12.75">
      <c r="A134" s="269">
        <v>41</v>
      </c>
      <c r="B134" s="269"/>
      <c r="C134" s="269" t="s">
        <v>204</v>
      </c>
      <c r="D134" s="269" t="s">
        <v>201</v>
      </c>
      <c r="E134" s="333">
        <v>2910</v>
      </c>
      <c r="F134" s="327">
        <v>80</v>
      </c>
      <c r="G134" s="334"/>
      <c r="H134" s="327">
        <v>80</v>
      </c>
      <c r="I134" s="327">
        <v>264</v>
      </c>
      <c r="J134" s="327">
        <v>300</v>
      </c>
      <c r="K134" s="296">
        <f t="shared" si="210"/>
        <v>3634</v>
      </c>
      <c r="L134" s="337">
        <v>4070.6666666666665</v>
      </c>
      <c r="M134" s="296">
        <f t="shared" si="211"/>
        <v>745.71</v>
      </c>
      <c r="N134" s="296">
        <f t="shared" si="212"/>
        <v>404.69</v>
      </c>
      <c r="O134" s="296">
        <f t="shared" si="213"/>
        <v>23.81</v>
      </c>
      <c r="P134" s="296">
        <f t="shared" si="214"/>
        <v>13.33</v>
      </c>
      <c r="Q134" s="296"/>
      <c r="R134" s="296">
        <f t="shared" si="205"/>
        <v>489</v>
      </c>
      <c r="S134" s="296">
        <f t="shared" si="215"/>
        <v>1226.16</v>
      </c>
      <c r="T134" s="296">
        <f t="shared" si="216"/>
        <v>919.62</v>
      </c>
      <c r="U134" s="339">
        <v>600</v>
      </c>
      <c r="V134" s="296">
        <f t="shared" si="217"/>
        <v>5910.540000000001</v>
      </c>
      <c r="W134" s="339">
        <v>12000</v>
      </c>
      <c r="X134" s="296">
        <f t="shared" si="218"/>
        <v>83572.26000000001</v>
      </c>
      <c r="Y134" s="309">
        <f t="shared" si="191"/>
        <v>325.65</v>
      </c>
      <c r="Z134" s="309">
        <f t="shared" si="192"/>
        <v>81.41</v>
      </c>
      <c r="AA134" s="309">
        <f t="shared" si="193"/>
        <v>20.35</v>
      </c>
      <c r="AB134" s="309">
        <f t="shared" si="194"/>
        <v>427.40999999999997</v>
      </c>
      <c r="AC134" s="309">
        <f t="shared" si="195"/>
        <v>325.65</v>
      </c>
      <c r="AD134" s="309">
        <f t="shared" si="196"/>
        <v>81.41</v>
      </c>
      <c r="AE134" s="309">
        <f t="shared" si="197"/>
        <v>20.35</v>
      </c>
      <c r="AF134" s="309">
        <f t="shared" si="198"/>
        <v>427.40999999999997</v>
      </c>
      <c r="AG134" s="309">
        <f t="shared" si="199"/>
        <v>0</v>
      </c>
      <c r="AH134" s="309"/>
      <c r="AI134" s="322" t="s">
        <v>54</v>
      </c>
    </row>
    <row r="135" spans="1:35" ht="12.75">
      <c r="A135" s="269">
        <v>42</v>
      </c>
      <c r="B135" s="269"/>
      <c r="C135" s="269" t="s">
        <v>205</v>
      </c>
      <c r="D135" s="269" t="s">
        <v>201</v>
      </c>
      <c r="E135" s="333">
        <v>2910</v>
      </c>
      <c r="F135" s="327">
        <v>20</v>
      </c>
      <c r="G135" s="334"/>
      <c r="H135" s="327">
        <v>80</v>
      </c>
      <c r="I135" s="327">
        <v>264</v>
      </c>
      <c r="J135" s="327">
        <v>300</v>
      </c>
      <c r="K135" s="296">
        <f t="shared" si="210"/>
        <v>3574</v>
      </c>
      <c r="L135" s="337">
        <v>4025.6666666666665</v>
      </c>
      <c r="M135" s="296">
        <f t="shared" si="211"/>
        <v>745.71</v>
      </c>
      <c r="N135" s="296">
        <f t="shared" si="212"/>
        <v>404.69</v>
      </c>
      <c r="O135" s="296">
        <f t="shared" si="213"/>
        <v>23.81</v>
      </c>
      <c r="P135" s="296">
        <f t="shared" si="214"/>
        <v>13.33</v>
      </c>
      <c r="Q135" s="296"/>
      <c r="R135" s="296">
        <f t="shared" si="205"/>
        <v>484</v>
      </c>
      <c r="S135" s="296">
        <f t="shared" si="215"/>
        <v>1211.76</v>
      </c>
      <c r="T135" s="296">
        <f t="shared" si="216"/>
        <v>908.8199999999999</v>
      </c>
      <c r="U135" s="339">
        <v>600</v>
      </c>
      <c r="V135" s="296">
        <f t="shared" si="217"/>
        <v>5845.540000000001</v>
      </c>
      <c r="W135" s="339">
        <v>12000</v>
      </c>
      <c r="X135" s="296">
        <f t="shared" si="218"/>
        <v>82767.06000000001</v>
      </c>
      <c r="Y135" s="309">
        <f t="shared" si="191"/>
        <v>322.05</v>
      </c>
      <c r="Z135" s="309">
        <f t="shared" si="192"/>
        <v>80.51</v>
      </c>
      <c r="AA135" s="309">
        <f t="shared" si="193"/>
        <v>20.13</v>
      </c>
      <c r="AB135" s="309">
        <f t="shared" si="194"/>
        <v>422.69</v>
      </c>
      <c r="AC135" s="309">
        <f t="shared" si="195"/>
        <v>322.05</v>
      </c>
      <c r="AD135" s="309">
        <f t="shared" si="196"/>
        <v>80.51</v>
      </c>
      <c r="AE135" s="309">
        <f t="shared" si="197"/>
        <v>20.13</v>
      </c>
      <c r="AF135" s="309">
        <f t="shared" si="198"/>
        <v>422.69</v>
      </c>
      <c r="AG135" s="309">
        <f t="shared" si="199"/>
        <v>0</v>
      </c>
      <c r="AH135" s="309"/>
      <c r="AI135" s="322" t="s">
        <v>54</v>
      </c>
    </row>
    <row r="136" spans="1:35" ht="12.75">
      <c r="A136" s="269">
        <v>43</v>
      </c>
      <c r="B136" s="269"/>
      <c r="C136" s="269" t="s">
        <v>206</v>
      </c>
      <c r="D136" s="269" t="s">
        <v>176</v>
      </c>
      <c r="E136" s="333">
        <v>2400</v>
      </c>
      <c r="F136" s="327">
        <v>190</v>
      </c>
      <c r="G136" s="334"/>
      <c r="H136" s="327">
        <v>80</v>
      </c>
      <c r="I136" s="327">
        <v>264</v>
      </c>
      <c r="J136" s="327">
        <v>300</v>
      </c>
      <c r="K136" s="296">
        <f t="shared" si="210"/>
        <v>3234</v>
      </c>
      <c r="L136" s="337">
        <v>3670.6666666666665</v>
      </c>
      <c r="M136" s="296">
        <f t="shared" si="211"/>
        <v>745.71</v>
      </c>
      <c r="N136" s="296">
        <f t="shared" si="212"/>
        <v>404.69</v>
      </c>
      <c r="O136" s="296">
        <f t="shared" si="213"/>
        <v>23.81</v>
      </c>
      <c r="P136" s="296">
        <f t="shared" si="214"/>
        <v>13.33</v>
      </c>
      <c r="Q136" s="296"/>
      <c r="R136" s="296">
        <f t="shared" si="205"/>
        <v>441</v>
      </c>
      <c r="S136" s="296">
        <f t="shared" si="215"/>
        <v>1130.16</v>
      </c>
      <c r="T136" s="296">
        <f t="shared" si="216"/>
        <v>847.62</v>
      </c>
      <c r="U136" s="339">
        <v>600</v>
      </c>
      <c r="V136" s="296">
        <f t="shared" si="217"/>
        <v>5462.539999999999</v>
      </c>
      <c r="W136" s="339">
        <v>12000</v>
      </c>
      <c r="X136" s="296">
        <f t="shared" si="218"/>
        <v>78028.25999999998</v>
      </c>
      <c r="Y136" s="309">
        <f t="shared" si="191"/>
        <v>293.65</v>
      </c>
      <c r="Z136" s="309">
        <f t="shared" si="192"/>
        <v>73.41</v>
      </c>
      <c r="AA136" s="309">
        <f t="shared" si="193"/>
        <v>18.35</v>
      </c>
      <c r="AB136" s="309">
        <f t="shared" si="194"/>
        <v>385.40999999999997</v>
      </c>
      <c r="AC136" s="309">
        <f t="shared" si="195"/>
        <v>293.65</v>
      </c>
      <c r="AD136" s="309">
        <f t="shared" si="196"/>
        <v>73.41</v>
      </c>
      <c r="AE136" s="309">
        <f t="shared" si="197"/>
        <v>18.35</v>
      </c>
      <c r="AF136" s="309">
        <f t="shared" si="198"/>
        <v>385.40999999999997</v>
      </c>
      <c r="AG136" s="309">
        <f t="shared" si="199"/>
        <v>0</v>
      </c>
      <c r="AH136" s="309"/>
      <c r="AI136" s="322" t="s">
        <v>54</v>
      </c>
    </row>
    <row r="137" spans="1:36" ht="12.75">
      <c r="A137" s="269">
        <v>44</v>
      </c>
      <c r="B137" s="269"/>
      <c r="C137" s="269" t="s">
        <v>207</v>
      </c>
      <c r="D137" s="269" t="s">
        <v>176</v>
      </c>
      <c r="E137" s="333">
        <v>2400</v>
      </c>
      <c r="F137" s="327">
        <v>200</v>
      </c>
      <c r="G137" s="334"/>
      <c r="H137" s="327">
        <v>80</v>
      </c>
      <c r="I137" s="327">
        <v>264</v>
      </c>
      <c r="J137" s="327">
        <v>300</v>
      </c>
      <c r="K137" s="296">
        <f t="shared" si="210"/>
        <v>3244</v>
      </c>
      <c r="L137" s="337">
        <v>3688.1666666666665</v>
      </c>
      <c r="M137" s="296">
        <f t="shared" si="211"/>
        <v>745.71</v>
      </c>
      <c r="N137" s="296">
        <f t="shared" si="212"/>
        <v>404.69</v>
      </c>
      <c r="O137" s="296">
        <f t="shared" si="213"/>
        <v>23.81</v>
      </c>
      <c r="P137" s="296">
        <f t="shared" si="214"/>
        <v>13.33</v>
      </c>
      <c r="Q137" s="296"/>
      <c r="R137" s="296">
        <f t="shared" si="205"/>
        <v>443</v>
      </c>
      <c r="S137" s="296">
        <f t="shared" si="215"/>
        <v>1132.56</v>
      </c>
      <c r="T137" s="296">
        <f t="shared" si="216"/>
        <v>849.42</v>
      </c>
      <c r="U137" s="339">
        <v>600</v>
      </c>
      <c r="V137" s="296">
        <f t="shared" si="217"/>
        <v>5474.539999999999</v>
      </c>
      <c r="W137" s="339">
        <v>12000</v>
      </c>
      <c r="X137" s="296">
        <f t="shared" si="218"/>
        <v>78176.45999999998</v>
      </c>
      <c r="Y137" s="309">
        <f t="shared" si="191"/>
        <v>295.05</v>
      </c>
      <c r="Z137" s="309">
        <f t="shared" si="192"/>
        <v>73.76</v>
      </c>
      <c r="AA137" s="309">
        <f t="shared" si="193"/>
        <v>18.44</v>
      </c>
      <c r="AB137" s="309">
        <f t="shared" si="194"/>
        <v>387.25</v>
      </c>
      <c r="AC137" s="309">
        <f t="shared" si="195"/>
        <v>295.05</v>
      </c>
      <c r="AD137" s="309">
        <f t="shared" si="196"/>
        <v>73.76</v>
      </c>
      <c r="AE137" s="309">
        <f t="shared" si="197"/>
        <v>18.44</v>
      </c>
      <c r="AF137" s="309">
        <f t="shared" si="198"/>
        <v>387.25</v>
      </c>
      <c r="AG137" s="309">
        <f t="shared" si="199"/>
        <v>0</v>
      </c>
      <c r="AH137" s="309"/>
      <c r="AI137" s="322" t="s">
        <v>54</v>
      </c>
      <c r="AJ137" s="344" t="s">
        <v>208</v>
      </c>
    </row>
    <row r="138" spans="1:35" ht="12.75">
      <c r="A138" s="269">
        <v>45</v>
      </c>
      <c r="B138" s="269"/>
      <c r="C138" s="269" t="s">
        <v>209</v>
      </c>
      <c r="D138" s="269" t="s">
        <v>176</v>
      </c>
      <c r="E138" s="333">
        <v>2400</v>
      </c>
      <c r="F138" s="327">
        <v>200</v>
      </c>
      <c r="G138" s="334"/>
      <c r="H138" s="327">
        <v>80</v>
      </c>
      <c r="I138" s="327">
        <v>264</v>
      </c>
      <c r="J138" s="327">
        <v>300</v>
      </c>
      <c r="K138" s="296">
        <f t="shared" si="210"/>
        <v>3244</v>
      </c>
      <c r="L138" s="337">
        <v>3688.1666666666665</v>
      </c>
      <c r="M138" s="296">
        <f t="shared" si="211"/>
        <v>745.71</v>
      </c>
      <c r="N138" s="296">
        <f t="shared" si="212"/>
        <v>404.69</v>
      </c>
      <c r="O138" s="296">
        <f t="shared" si="213"/>
        <v>23.81</v>
      </c>
      <c r="P138" s="296">
        <f t="shared" si="214"/>
        <v>13.33</v>
      </c>
      <c r="Q138" s="296"/>
      <c r="R138" s="296">
        <f t="shared" si="205"/>
        <v>443</v>
      </c>
      <c r="S138" s="296">
        <f t="shared" si="215"/>
        <v>1132.56</v>
      </c>
      <c r="T138" s="296">
        <f t="shared" si="216"/>
        <v>849.42</v>
      </c>
      <c r="U138" s="339">
        <v>600</v>
      </c>
      <c r="V138" s="296">
        <f t="shared" si="217"/>
        <v>5474.539999999999</v>
      </c>
      <c r="W138" s="339">
        <v>12000</v>
      </c>
      <c r="X138" s="296">
        <f t="shared" si="218"/>
        <v>78176.45999999998</v>
      </c>
      <c r="Y138" s="309">
        <f t="shared" si="191"/>
        <v>295.05</v>
      </c>
      <c r="Z138" s="309">
        <f t="shared" si="192"/>
        <v>73.76</v>
      </c>
      <c r="AA138" s="309">
        <f t="shared" si="193"/>
        <v>18.44</v>
      </c>
      <c r="AB138" s="309">
        <f t="shared" si="194"/>
        <v>387.25</v>
      </c>
      <c r="AC138" s="309">
        <f t="shared" si="195"/>
        <v>295.05</v>
      </c>
      <c r="AD138" s="309">
        <f t="shared" si="196"/>
        <v>73.76</v>
      </c>
      <c r="AE138" s="309">
        <f t="shared" si="197"/>
        <v>18.44</v>
      </c>
      <c r="AF138" s="309">
        <f t="shared" si="198"/>
        <v>387.25</v>
      </c>
      <c r="AG138" s="309">
        <f t="shared" si="199"/>
        <v>0</v>
      </c>
      <c r="AH138" s="309"/>
      <c r="AI138" s="322" t="s">
        <v>54</v>
      </c>
    </row>
    <row r="139" spans="1:36" ht="12.75">
      <c r="A139" s="269">
        <v>46</v>
      </c>
      <c r="B139" s="269"/>
      <c r="C139" s="269" t="s">
        <v>210</v>
      </c>
      <c r="D139" s="269" t="s">
        <v>176</v>
      </c>
      <c r="E139" s="333">
        <v>2400</v>
      </c>
      <c r="F139" s="327">
        <v>160</v>
      </c>
      <c r="G139" s="334"/>
      <c r="H139" s="327">
        <v>80</v>
      </c>
      <c r="I139" s="327">
        <v>264</v>
      </c>
      <c r="J139" s="327">
        <v>300</v>
      </c>
      <c r="K139" s="296">
        <f t="shared" si="210"/>
        <v>3204</v>
      </c>
      <c r="L139" s="337">
        <v>3648.1666666666665</v>
      </c>
      <c r="M139" s="296">
        <f t="shared" si="211"/>
        <v>745.71</v>
      </c>
      <c r="N139" s="296">
        <f t="shared" si="212"/>
        <v>404.69</v>
      </c>
      <c r="O139" s="296">
        <f t="shared" si="213"/>
        <v>23.81</v>
      </c>
      <c r="P139" s="296">
        <f t="shared" si="214"/>
        <v>13.33</v>
      </c>
      <c r="Q139" s="357"/>
      <c r="R139" s="296">
        <f t="shared" si="205"/>
        <v>438</v>
      </c>
      <c r="S139" s="296">
        <f t="shared" si="215"/>
        <v>1122.96</v>
      </c>
      <c r="T139" s="296">
        <f t="shared" si="216"/>
        <v>842.2199999999999</v>
      </c>
      <c r="U139" s="339">
        <v>600</v>
      </c>
      <c r="V139" s="296">
        <f t="shared" si="217"/>
        <v>5429.539999999999</v>
      </c>
      <c r="W139" s="339">
        <v>12000</v>
      </c>
      <c r="X139" s="296">
        <f t="shared" si="218"/>
        <v>77619.65999999999</v>
      </c>
      <c r="Y139" s="309">
        <f t="shared" si="191"/>
        <v>291.85</v>
      </c>
      <c r="Z139" s="309">
        <f t="shared" si="192"/>
        <v>72.96</v>
      </c>
      <c r="AA139" s="309">
        <f t="shared" si="193"/>
        <v>18.24</v>
      </c>
      <c r="AB139" s="309">
        <f t="shared" si="194"/>
        <v>383.05</v>
      </c>
      <c r="AC139" s="309">
        <f t="shared" si="195"/>
        <v>291.85</v>
      </c>
      <c r="AD139" s="309">
        <f t="shared" si="196"/>
        <v>72.96</v>
      </c>
      <c r="AE139" s="309">
        <f t="shared" si="197"/>
        <v>18.24</v>
      </c>
      <c r="AF139" s="309">
        <f t="shared" si="198"/>
        <v>383.05</v>
      </c>
      <c r="AG139" s="309">
        <f t="shared" si="199"/>
        <v>0</v>
      </c>
      <c r="AH139" s="309"/>
      <c r="AI139" s="322" t="s">
        <v>54</v>
      </c>
      <c r="AJ139" s="344" t="s">
        <v>211</v>
      </c>
    </row>
    <row r="140" spans="1:36" ht="12.75">
      <c r="A140" s="269">
        <v>47</v>
      </c>
      <c r="B140" s="269"/>
      <c r="C140" s="269" t="s">
        <v>212</v>
      </c>
      <c r="D140" s="269" t="s">
        <v>176</v>
      </c>
      <c r="E140" s="333">
        <v>2400</v>
      </c>
      <c r="F140" s="327">
        <v>310</v>
      </c>
      <c r="G140" s="334"/>
      <c r="H140" s="327">
        <v>80</v>
      </c>
      <c r="I140" s="327">
        <v>264</v>
      </c>
      <c r="J140" s="327">
        <v>300</v>
      </c>
      <c r="K140" s="296">
        <f t="shared" si="210"/>
        <v>3354</v>
      </c>
      <c r="L140" s="337">
        <v>3790.6666666666665</v>
      </c>
      <c r="M140" s="296">
        <f t="shared" si="211"/>
        <v>745.71</v>
      </c>
      <c r="N140" s="296">
        <f t="shared" si="212"/>
        <v>404.69</v>
      </c>
      <c r="O140" s="296">
        <f t="shared" si="213"/>
        <v>23.81</v>
      </c>
      <c r="P140" s="296">
        <f t="shared" si="214"/>
        <v>13.33</v>
      </c>
      <c r="Q140" s="357"/>
      <c r="R140" s="296">
        <f t="shared" si="205"/>
        <v>455</v>
      </c>
      <c r="S140" s="296">
        <f t="shared" si="215"/>
        <v>1158.96</v>
      </c>
      <c r="T140" s="296">
        <f t="shared" si="216"/>
        <v>869.2199999999999</v>
      </c>
      <c r="U140" s="339">
        <v>600</v>
      </c>
      <c r="V140" s="296">
        <f t="shared" si="217"/>
        <v>5596.539999999999</v>
      </c>
      <c r="W140" s="339">
        <v>12000</v>
      </c>
      <c r="X140" s="296">
        <f t="shared" si="218"/>
        <v>79686.65999999999</v>
      </c>
      <c r="Y140" s="309">
        <f t="shared" si="191"/>
        <v>303.25</v>
      </c>
      <c r="Z140" s="309">
        <f t="shared" si="192"/>
        <v>75.81</v>
      </c>
      <c r="AA140" s="309">
        <f t="shared" si="193"/>
        <v>18.95</v>
      </c>
      <c r="AB140" s="309">
        <f t="shared" si="194"/>
        <v>398.01</v>
      </c>
      <c r="AC140" s="309">
        <f t="shared" si="195"/>
        <v>303.25</v>
      </c>
      <c r="AD140" s="309">
        <f t="shared" si="196"/>
        <v>75.81</v>
      </c>
      <c r="AE140" s="309">
        <f t="shared" si="197"/>
        <v>18.95</v>
      </c>
      <c r="AF140" s="309">
        <f t="shared" si="198"/>
        <v>398.01</v>
      </c>
      <c r="AG140" s="309">
        <f t="shared" si="199"/>
        <v>0</v>
      </c>
      <c r="AH140" s="309"/>
      <c r="AI140" s="322" t="s">
        <v>54</v>
      </c>
      <c r="AJ140" s="344" t="s">
        <v>213</v>
      </c>
    </row>
    <row r="141" spans="1:35" ht="12.75">
      <c r="A141" s="269">
        <v>48</v>
      </c>
      <c r="B141" s="269"/>
      <c r="C141" s="269" t="s">
        <v>214</v>
      </c>
      <c r="D141" s="269" t="s">
        <v>215</v>
      </c>
      <c r="E141" s="333">
        <v>1800</v>
      </c>
      <c r="F141" s="345"/>
      <c r="G141" s="334"/>
      <c r="H141" s="327">
        <v>80</v>
      </c>
      <c r="I141" s="327">
        <v>264</v>
      </c>
      <c r="J141" s="327">
        <v>300</v>
      </c>
      <c r="K141" s="296">
        <f t="shared" si="210"/>
        <v>2444</v>
      </c>
      <c r="L141" s="337">
        <v>2305.6666666666665</v>
      </c>
      <c r="M141" s="296">
        <f t="shared" si="211"/>
        <v>745.71</v>
      </c>
      <c r="N141" s="296">
        <f t="shared" si="212"/>
        <v>404.69</v>
      </c>
      <c r="O141" s="296">
        <f t="shared" si="213"/>
        <v>23.81</v>
      </c>
      <c r="P141" s="296">
        <f t="shared" si="214"/>
        <v>13.33</v>
      </c>
      <c r="Q141" s="357"/>
      <c r="R141" s="296"/>
      <c r="S141" s="296">
        <f t="shared" si="215"/>
        <v>616.5600000000001</v>
      </c>
      <c r="T141" s="296">
        <f t="shared" si="216"/>
        <v>462.41999999999996</v>
      </c>
      <c r="U141" s="339"/>
      <c r="V141" s="296">
        <f t="shared" si="217"/>
        <v>3631.5399999999995</v>
      </c>
      <c r="W141" s="339">
        <v>3000</v>
      </c>
      <c r="X141" s="296">
        <f t="shared" si="218"/>
        <v>46157.45999999999</v>
      </c>
      <c r="Y141" s="309">
        <f t="shared" si="191"/>
        <v>184.45</v>
      </c>
      <c r="Z141" s="309">
        <f t="shared" si="192"/>
        <v>46.11</v>
      </c>
      <c r="AA141" s="309">
        <f t="shared" si="193"/>
        <v>11.53</v>
      </c>
      <c r="AB141" s="309">
        <f t="shared" si="194"/>
        <v>242.09</v>
      </c>
      <c r="AC141" s="309">
        <f t="shared" si="195"/>
        <v>290.05</v>
      </c>
      <c r="AD141" s="309">
        <f t="shared" si="196"/>
        <v>72.51</v>
      </c>
      <c r="AE141" s="309">
        <f t="shared" si="197"/>
        <v>18.13</v>
      </c>
      <c r="AF141" s="309">
        <f t="shared" si="198"/>
        <v>380.69</v>
      </c>
      <c r="AG141" s="309">
        <f t="shared" si="199"/>
        <v>138.6</v>
      </c>
      <c r="AH141" s="309"/>
      <c r="AI141" s="322" t="s">
        <v>179</v>
      </c>
    </row>
    <row r="142" spans="1:35" ht="12.75">
      <c r="A142" s="269">
        <v>49</v>
      </c>
      <c r="B142" s="269"/>
      <c r="C142" s="269" t="s">
        <v>216</v>
      </c>
      <c r="D142" s="269" t="s">
        <v>215</v>
      </c>
      <c r="E142" s="333">
        <v>1800</v>
      </c>
      <c r="F142" s="345"/>
      <c r="G142" s="334"/>
      <c r="H142" s="327">
        <v>80</v>
      </c>
      <c r="I142" s="327">
        <v>264</v>
      </c>
      <c r="J142" s="327">
        <v>300</v>
      </c>
      <c r="K142" s="296">
        <f t="shared" si="210"/>
        <v>2444</v>
      </c>
      <c r="L142" s="337">
        <v>2305.6666666666665</v>
      </c>
      <c r="M142" s="296">
        <f t="shared" si="211"/>
        <v>745.71</v>
      </c>
      <c r="N142" s="296">
        <f t="shared" si="212"/>
        <v>404.69</v>
      </c>
      <c r="O142" s="296">
        <f t="shared" si="213"/>
        <v>23.81</v>
      </c>
      <c r="P142" s="296">
        <f t="shared" si="214"/>
        <v>13.33</v>
      </c>
      <c r="Q142" s="357"/>
      <c r="R142" s="296"/>
      <c r="S142" s="296">
        <f t="shared" si="215"/>
        <v>616.5600000000001</v>
      </c>
      <c r="T142" s="296">
        <f t="shared" si="216"/>
        <v>462.41999999999996</v>
      </c>
      <c r="U142" s="339"/>
      <c r="V142" s="296">
        <f t="shared" si="217"/>
        <v>3631.5399999999995</v>
      </c>
      <c r="W142" s="339">
        <v>3000</v>
      </c>
      <c r="X142" s="296">
        <f t="shared" si="218"/>
        <v>46157.45999999999</v>
      </c>
      <c r="Y142" s="309">
        <f t="shared" si="191"/>
        <v>184.45</v>
      </c>
      <c r="Z142" s="309">
        <f t="shared" si="192"/>
        <v>46.11</v>
      </c>
      <c r="AA142" s="309">
        <f t="shared" si="193"/>
        <v>11.53</v>
      </c>
      <c r="AB142" s="309">
        <f t="shared" si="194"/>
        <v>242.09</v>
      </c>
      <c r="AC142" s="309">
        <f t="shared" si="195"/>
        <v>290.05</v>
      </c>
      <c r="AD142" s="309">
        <f t="shared" si="196"/>
        <v>72.51</v>
      </c>
      <c r="AE142" s="309">
        <f t="shared" si="197"/>
        <v>18.13</v>
      </c>
      <c r="AF142" s="309">
        <f t="shared" si="198"/>
        <v>380.69</v>
      </c>
      <c r="AG142" s="309">
        <f t="shared" si="199"/>
        <v>138.6</v>
      </c>
      <c r="AH142" s="309"/>
      <c r="AI142" s="322" t="s">
        <v>179</v>
      </c>
    </row>
    <row r="143" spans="1:35" ht="12.75">
      <c r="A143" s="269">
        <v>50</v>
      </c>
      <c r="B143" s="269"/>
      <c r="C143" s="269" t="s">
        <v>217</v>
      </c>
      <c r="D143" s="269" t="s">
        <v>215</v>
      </c>
      <c r="E143" s="333">
        <v>1800</v>
      </c>
      <c r="F143" s="345"/>
      <c r="G143" s="334"/>
      <c r="H143" s="327">
        <v>80</v>
      </c>
      <c r="I143" s="327">
        <v>264</v>
      </c>
      <c r="J143" s="327">
        <v>300</v>
      </c>
      <c r="K143" s="296">
        <f t="shared" si="210"/>
        <v>2444</v>
      </c>
      <c r="L143" s="337">
        <v>2305.6666666666665</v>
      </c>
      <c r="M143" s="296">
        <f t="shared" si="211"/>
        <v>745.71</v>
      </c>
      <c r="N143" s="296">
        <f t="shared" si="212"/>
        <v>404.69</v>
      </c>
      <c r="O143" s="296">
        <f t="shared" si="213"/>
        <v>23.81</v>
      </c>
      <c r="P143" s="296">
        <f t="shared" si="214"/>
        <v>13.33</v>
      </c>
      <c r="Q143" s="357"/>
      <c r="R143" s="296"/>
      <c r="S143" s="296">
        <f t="shared" si="215"/>
        <v>616.5600000000001</v>
      </c>
      <c r="T143" s="296">
        <f t="shared" si="216"/>
        <v>462.41999999999996</v>
      </c>
      <c r="U143" s="339"/>
      <c r="V143" s="296">
        <f t="shared" si="217"/>
        <v>3631.5399999999995</v>
      </c>
      <c r="W143" s="339">
        <v>3000</v>
      </c>
      <c r="X143" s="296">
        <f t="shared" si="218"/>
        <v>46157.45999999999</v>
      </c>
      <c r="Y143" s="309">
        <f t="shared" si="191"/>
        <v>184.45</v>
      </c>
      <c r="Z143" s="309">
        <f t="shared" si="192"/>
        <v>46.11</v>
      </c>
      <c r="AA143" s="309">
        <f t="shared" si="193"/>
        <v>11.53</v>
      </c>
      <c r="AB143" s="309">
        <f t="shared" si="194"/>
        <v>242.09</v>
      </c>
      <c r="AC143" s="309">
        <f t="shared" si="195"/>
        <v>290.05</v>
      </c>
      <c r="AD143" s="309">
        <f t="shared" si="196"/>
        <v>72.51</v>
      </c>
      <c r="AE143" s="309">
        <f t="shared" si="197"/>
        <v>18.13</v>
      </c>
      <c r="AF143" s="309">
        <f t="shared" si="198"/>
        <v>380.69</v>
      </c>
      <c r="AG143" s="309">
        <f t="shared" si="199"/>
        <v>138.6</v>
      </c>
      <c r="AH143" s="309"/>
      <c r="AI143" s="322" t="s">
        <v>179</v>
      </c>
    </row>
    <row r="144" spans="1:35" ht="12.75">
      <c r="A144" s="269">
        <v>51</v>
      </c>
      <c r="B144" s="269"/>
      <c r="C144" s="269" t="s">
        <v>218</v>
      </c>
      <c r="D144" s="269" t="s">
        <v>215</v>
      </c>
      <c r="E144" s="333">
        <v>1800</v>
      </c>
      <c r="F144" s="345"/>
      <c r="G144" s="334"/>
      <c r="H144" s="327">
        <v>80</v>
      </c>
      <c r="I144" s="327">
        <v>264</v>
      </c>
      <c r="J144" s="327">
        <v>300</v>
      </c>
      <c r="K144" s="296">
        <f t="shared" si="210"/>
        <v>2444</v>
      </c>
      <c r="L144" s="337">
        <v>2305.6666666666665</v>
      </c>
      <c r="M144" s="296">
        <f t="shared" si="211"/>
        <v>745.71</v>
      </c>
      <c r="N144" s="296">
        <f t="shared" si="212"/>
        <v>404.69</v>
      </c>
      <c r="O144" s="296">
        <f t="shared" si="213"/>
        <v>23.81</v>
      </c>
      <c r="P144" s="296">
        <f t="shared" si="214"/>
        <v>13.33</v>
      </c>
      <c r="Q144" s="357"/>
      <c r="R144" s="296"/>
      <c r="S144" s="296">
        <f t="shared" si="215"/>
        <v>616.5600000000001</v>
      </c>
      <c r="T144" s="296">
        <f t="shared" si="216"/>
        <v>462.41999999999996</v>
      </c>
      <c r="U144" s="339"/>
      <c r="V144" s="296">
        <f t="shared" si="217"/>
        <v>3631.5399999999995</v>
      </c>
      <c r="W144" s="339">
        <v>3000</v>
      </c>
      <c r="X144" s="296">
        <f t="shared" si="218"/>
        <v>46157.45999999999</v>
      </c>
      <c r="Y144" s="309">
        <f t="shared" si="191"/>
        <v>184.45</v>
      </c>
      <c r="Z144" s="309">
        <f t="shared" si="192"/>
        <v>46.11</v>
      </c>
      <c r="AA144" s="309">
        <f t="shared" si="193"/>
        <v>11.53</v>
      </c>
      <c r="AB144" s="309">
        <f t="shared" si="194"/>
        <v>242.09</v>
      </c>
      <c r="AC144" s="309">
        <f t="shared" si="195"/>
        <v>290.05</v>
      </c>
      <c r="AD144" s="309">
        <f t="shared" si="196"/>
        <v>72.51</v>
      </c>
      <c r="AE144" s="309">
        <f t="shared" si="197"/>
        <v>18.13</v>
      </c>
      <c r="AF144" s="309">
        <f t="shared" si="198"/>
        <v>380.69</v>
      </c>
      <c r="AG144" s="309">
        <f t="shared" si="199"/>
        <v>138.6</v>
      </c>
      <c r="AH144" s="309"/>
      <c r="AI144" s="322" t="s">
        <v>179</v>
      </c>
    </row>
    <row r="145" spans="1:35" ht="12.75">
      <c r="A145" s="269">
        <v>52</v>
      </c>
      <c r="B145" s="269"/>
      <c r="C145" s="269" t="s">
        <v>219</v>
      </c>
      <c r="D145" s="269" t="s">
        <v>220</v>
      </c>
      <c r="E145" s="333">
        <v>1800</v>
      </c>
      <c r="F145" s="345"/>
      <c r="G145" s="334"/>
      <c r="H145" s="327">
        <v>80</v>
      </c>
      <c r="I145" s="327">
        <v>264</v>
      </c>
      <c r="J145" s="327">
        <v>300</v>
      </c>
      <c r="K145" s="296">
        <f t="shared" si="210"/>
        <v>2444</v>
      </c>
      <c r="L145" s="337">
        <v>2305.6666666666665</v>
      </c>
      <c r="M145" s="296">
        <f t="shared" si="211"/>
        <v>745.71</v>
      </c>
      <c r="N145" s="296">
        <f t="shared" si="212"/>
        <v>404.69</v>
      </c>
      <c r="O145" s="296">
        <f t="shared" si="213"/>
        <v>23.81</v>
      </c>
      <c r="P145" s="296">
        <f t="shared" si="214"/>
        <v>13.33</v>
      </c>
      <c r="Q145" s="357"/>
      <c r="R145" s="296"/>
      <c r="S145" s="296">
        <f t="shared" si="215"/>
        <v>616.5600000000001</v>
      </c>
      <c r="T145" s="296">
        <f t="shared" si="216"/>
        <v>462.41999999999996</v>
      </c>
      <c r="U145" s="339"/>
      <c r="V145" s="296">
        <f t="shared" si="217"/>
        <v>3631.5399999999995</v>
      </c>
      <c r="W145" s="339">
        <v>3000</v>
      </c>
      <c r="X145" s="296">
        <f t="shared" si="218"/>
        <v>46157.45999999999</v>
      </c>
      <c r="Y145" s="309">
        <f t="shared" si="191"/>
        <v>184.45</v>
      </c>
      <c r="Z145" s="309">
        <f t="shared" si="192"/>
        <v>46.11</v>
      </c>
      <c r="AA145" s="309">
        <f t="shared" si="193"/>
        <v>11.53</v>
      </c>
      <c r="AB145" s="309">
        <f t="shared" si="194"/>
        <v>242.09</v>
      </c>
      <c r="AC145" s="309">
        <f t="shared" si="195"/>
        <v>290.05</v>
      </c>
      <c r="AD145" s="309">
        <f t="shared" si="196"/>
        <v>72.51</v>
      </c>
      <c r="AE145" s="309">
        <f t="shared" si="197"/>
        <v>18.13</v>
      </c>
      <c r="AF145" s="309">
        <f t="shared" si="198"/>
        <v>380.69</v>
      </c>
      <c r="AG145" s="309">
        <f t="shared" si="199"/>
        <v>138.6</v>
      </c>
      <c r="AH145" s="309"/>
      <c r="AI145" s="322" t="s">
        <v>179</v>
      </c>
    </row>
    <row r="146" spans="1:35" ht="12.75">
      <c r="A146" s="269">
        <v>53</v>
      </c>
      <c r="B146" s="269"/>
      <c r="C146" s="269" t="s">
        <v>221</v>
      </c>
      <c r="D146" s="269" t="s">
        <v>220</v>
      </c>
      <c r="E146" s="333">
        <v>1800</v>
      </c>
      <c r="F146" s="345"/>
      <c r="G146" s="334"/>
      <c r="H146" s="327">
        <v>80</v>
      </c>
      <c r="I146" s="327">
        <v>264</v>
      </c>
      <c r="J146" s="327">
        <v>300</v>
      </c>
      <c r="K146" s="296">
        <f t="shared" si="210"/>
        <v>2444</v>
      </c>
      <c r="L146" s="337">
        <v>2305.6666666666665</v>
      </c>
      <c r="M146" s="296">
        <f t="shared" si="211"/>
        <v>745.71</v>
      </c>
      <c r="N146" s="296">
        <f t="shared" si="212"/>
        <v>404.69</v>
      </c>
      <c r="O146" s="296">
        <f t="shared" si="213"/>
        <v>23.81</v>
      </c>
      <c r="P146" s="296">
        <f t="shared" si="214"/>
        <v>13.33</v>
      </c>
      <c r="Q146" s="357"/>
      <c r="R146" s="296"/>
      <c r="S146" s="296">
        <f t="shared" si="215"/>
        <v>616.5600000000001</v>
      </c>
      <c r="T146" s="296">
        <f t="shared" si="216"/>
        <v>462.41999999999996</v>
      </c>
      <c r="U146" s="339"/>
      <c r="V146" s="296">
        <f t="shared" si="217"/>
        <v>3631.5399999999995</v>
      </c>
      <c r="W146" s="339">
        <v>3000</v>
      </c>
      <c r="X146" s="296">
        <f t="shared" si="218"/>
        <v>46157.45999999999</v>
      </c>
      <c r="Y146" s="309">
        <f t="shared" si="191"/>
        <v>184.45</v>
      </c>
      <c r="Z146" s="309">
        <f t="shared" si="192"/>
        <v>46.11</v>
      </c>
      <c r="AA146" s="309">
        <f t="shared" si="193"/>
        <v>11.53</v>
      </c>
      <c r="AB146" s="309">
        <f t="shared" si="194"/>
        <v>242.09</v>
      </c>
      <c r="AC146" s="309">
        <f t="shared" si="195"/>
        <v>290.05</v>
      </c>
      <c r="AD146" s="309">
        <f t="shared" si="196"/>
        <v>72.51</v>
      </c>
      <c r="AE146" s="309">
        <f t="shared" si="197"/>
        <v>18.13</v>
      </c>
      <c r="AF146" s="309">
        <f t="shared" si="198"/>
        <v>380.69</v>
      </c>
      <c r="AG146" s="309">
        <f t="shared" si="199"/>
        <v>138.6</v>
      </c>
      <c r="AH146" s="309"/>
      <c r="AI146" s="322" t="s">
        <v>179</v>
      </c>
    </row>
    <row r="147" spans="1:35" ht="12.75">
      <c r="A147" s="269">
        <v>54</v>
      </c>
      <c r="B147" s="269"/>
      <c r="C147" s="269" t="s">
        <v>222</v>
      </c>
      <c r="D147" s="269" t="s">
        <v>220</v>
      </c>
      <c r="E147" s="333">
        <v>1800</v>
      </c>
      <c r="F147" s="345"/>
      <c r="G147" s="334"/>
      <c r="H147" s="327">
        <v>80</v>
      </c>
      <c r="I147" s="327">
        <v>264</v>
      </c>
      <c r="J147" s="327">
        <v>300</v>
      </c>
      <c r="K147" s="296">
        <f t="shared" si="210"/>
        <v>2444</v>
      </c>
      <c r="L147" s="337">
        <v>2305.6666666666665</v>
      </c>
      <c r="M147" s="296">
        <f t="shared" si="211"/>
        <v>745.71</v>
      </c>
      <c r="N147" s="296">
        <f t="shared" si="212"/>
        <v>404.69</v>
      </c>
      <c r="O147" s="296">
        <f t="shared" si="213"/>
        <v>23.81</v>
      </c>
      <c r="P147" s="296">
        <f t="shared" si="214"/>
        <v>13.33</v>
      </c>
      <c r="Q147" s="357"/>
      <c r="R147" s="296"/>
      <c r="S147" s="296">
        <f t="shared" si="215"/>
        <v>616.5600000000001</v>
      </c>
      <c r="T147" s="296">
        <f t="shared" si="216"/>
        <v>462.41999999999996</v>
      </c>
      <c r="U147" s="339"/>
      <c r="V147" s="296">
        <f t="shared" si="217"/>
        <v>3631.5399999999995</v>
      </c>
      <c r="W147" s="339">
        <v>3000</v>
      </c>
      <c r="X147" s="296">
        <f t="shared" si="218"/>
        <v>46157.45999999999</v>
      </c>
      <c r="Y147" s="309">
        <f t="shared" si="191"/>
        <v>184.45</v>
      </c>
      <c r="Z147" s="309">
        <f t="shared" si="192"/>
        <v>46.11</v>
      </c>
      <c r="AA147" s="309">
        <f t="shared" si="193"/>
        <v>11.53</v>
      </c>
      <c r="AB147" s="309">
        <f t="shared" si="194"/>
        <v>242.09</v>
      </c>
      <c r="AC147" s="309">
        <f t="shared" si="195"/>
        <v>290.05</v>
      </c>
      <c r="AD147" s="309">
        <f t="shared" si="196"/>
        <v>72.51</v>
      </c>
      <c r="AE147" s="309">
        <f t="shared" si="197"/>
        <v>18.13</v>
      </c>
      <c r="AF147" s="309">
        <f t="shared" si="198"/>
        <v>380.69</v>
      </c>
      <c r="AG147" s="309">
        <f t="shared" si="199"/>
        <v>138.6</v>
      </c>
      <c r="AH147" s="309"/>
      <c r="AI147" s="322" t="s">
        <v>179</v>
      </c>
    </row>
    <row r="148" spans="1:35" ht="12.75">
      <c r="A148" s="269">
        <v>55</v>
      </c>
      <c r="B148" s="269"/>
      <c r="C148" s="269" t="s">
        <v>223</v>
      </c>
      <c r="D148" s="269" t="s">
        <v>220</v>
      </c>
      <c r="E148" s="333">
        <v>1800</v>
      </c>
      <c r="F148" s="345"/>
      <c r="G148" s="334"/>
      <c r="H148" s="327">
        <v>80</v>
      </c>
      <c r="I148" s="327">
        <v>264</v>
      </c>
      <c r="J148" s="327">
        <v>300</v>
      </c>
      <c r="K148" s="296">
        <f t="shared" si="210"/>
        <v>2444</v>
      </c>
      <c r="L148" s="337">
        <v>2305.6666666666665</v>
      </c>
      <c r="M148" s="296">
        <f t="shared" si="211"/>
        <v>745.71</v>
      </c>
      <c r="N148" s="296">
        <f t="shared" si="212"/>
        <v>404.69</v>
      </c>
      <c r="O148" s="296">
        <f t="shared" si="213"/>
        <v>23.81</v>
      </c>
      <c r="P148" s="296">
        <f t="shared" si="214"/>
        <v>13.33</v>
      </c>
      <c r="Q148" s="357"/>
      <c r="R148" s="296"/>
      <c r="S148" s="296">
        <f t="shared" si="215"/>
        <v>616.5600000000001</v>
      </c>
      <c r="T148" s="296">
        <f t="shared" si="216"/>
        <v>462.41999999999996</v>
      </c>
      <c r="U148" s="339"/>
      <c r="V148" s="296">
        <f t="shared" si="217"/>
        <v>3631.5399999999995</v>
      </c>
      <c r="W148" s="339">
        <v>3000</v>
      </c>
      <c r="X148" s="296">
        <f t="shared" si="218"/>
        <v>46157.45999999999</v>
      </c>
      <c r="Y148" s="309">
        <f t="shared" si="191"/>
        <v>184.45</v>
      </c>
      <c r="Z148" s="309">
        <f t="shared" si="192"/>
        <v>46.11</v>
      </c>
      <c r="AA148" s="309">
        <f t="shared" si="193"/>
        <v>11.53</v>
      </c>
      <c r="AB148" s="309">
        <f t="shared" si="194"/>
        <v>242.09</v>
      </c>
      <c r="AC148" s="309">
        <f t="shared" si="195"/>
        <v>290.05</v>
      </c>
      <c r="AD148" s="309">
        <f t="shared" si="196"/>
        <v>72.51</v>
      </c>
      <c r="AE148" s="309">
        <f t="shared" si="197"/>
        <v>18.13</v>
      </c>
      <c r="AF148" s="309">
        <f t="shared" si="198"/>
        <v>380.69</v>
      </c>
      <c r="AG148" s="309">
        <f t="shared" si="199"/>
        <v>138.6</v>
      </c>
      <c r="AH148" s="309"/>
      <c r="AI148" s="322" t="s">
        <v>179</v>
      </c>
    </row>
    <row r="149" spans="1:35" ht="12.75">
      <c r="A149" s="269">
        <v>56</v>
      </c>
      <c r="B149" s="269"/>
      <c r="C149" s="269" t="s">
        <v>224</v>
      </c>
      <c r="D149" s="269" t="s">
        <v>220</v>
      </c>
      <c r="E149" s="333">
        <v>1800</v>
      </c>
      <c r="F149" s="345"/>
      <c r="G149" s="334"/>
      <c r="H149" s="327">
        <v>80</v>
      </c>
      <c r="I149" s="327">
        <v>264</v>
      </c>
      <c r="J149" s="327">
        <v>300</v>
      </c>
      <c r="K149" s="296">
        <f t="shared" si="210"/>
        <v>2444</v>
      </c>
      <c r="L149" s="337">
        <v>2305.6666666666665</v>
      </c>
      <c r="M149" s="296">
        <f t="shared" si="211"/>
        <v>745.71</v>
      </c>
      <c r="N149" s="296">
        <f t="shared" si="212"/>
        <v>404.69</v>
      </c>
      <c r="O149" s="296">
        <f t="shared" si="213"/>
        <v>23.81</v>
      </c>
      <c r="P149" s="296">
        <f t="shared" si="214"/>
        <v>13.33</v>
      </c>
      <c r="Q149" s="357"/>
      <c r="R149" s="296"/>
      <c r="S149" s="296">
        <f t="shared" si="215"/>
        <v>616.5600000000001</v>
      </c>
      <c r="T149" s="296">
        <f t="shared" si="216"/>
        <v>462.41999999999996</v>
      </c>
      <c r="U149" s="339"/>
      <c r="V149" s="296">
        <f t="shared" si="217"/>
        <v>3631.5399999999995</v>
      </c>
      <c r="W149" s="339">
        <v>3000</v>
      </c>
      <c r="X149" s="296">
        <f t="shared" si="218"/>
        <v>46157.45999999999</v>
      </c>
      <c r="Y149" s="309">
        <f t="shared" si="191"/>
        <v>184.45</v>
      </c>
      <c r="Z149" s="309">
        <f t="shared" si="192"/>
        <v>46.11</v>
      </c>
      <c r="AA149" s="309">
        <f t="shared" si="193"/>
        <v>11.53</v>
      </c>
      <c r="AB149" s="309">
        <f t="shared" si="194"/>
        <v>242.09</v>
      </c>
      <c r="AC149" s="309">
        <f t="shared" si="195"/>
        <v>290.05</v>
      </c>
      <c r="AD149" s="309">
        <f t="shared" si="196"/>
        <v>72.51</v>
      </c>
      <c r="AE149" s="309">
        <f t="shared" si="197"/>
        <v>18.13</v>
      </c>
      <c r="AF149" s="309">
        <f t="shared" si="198"/>
        <v>380.69</v>
      </c>
      <c r="AG149" s="309">
        <f t="shared" si="199"/>
        <v>138.6</v>
      </c>
      <c r="AH149" s="309"/>
      <c r="AI149" s="322" t="s">
        <v>179</v>
      </c>
    </row>
    <row r="150" spans="1:35" ht="12.75">
      <c r="A150" s="269">
        <v>57</v>
      </c>
      <c r="B150" s="269"/>
      <c r="C150" s="269" t="s">
        <v>225</v>
      </c>
      <c r="D150" s="269" t="s">
        <v>220</v>
      </c>
      <c r="E150" s="333">
        <v>1800</v>
      </c>
      <c r="F150" s="345"/>
      <c r="G150" s="334"/>
      <c r="H150" s="327">
        <v>80</v>
      </c>
      <c r="I150" s="327">
        <v>264</v>
      </c>
      <c r="J150" s="327">
        <v>300</v>
      </c>
      <c r="K150" s="296">
        <f t="shared" si="210"/>
        <v>2444</v>
      </c>
      <c r="L150" s="337">
        <v>2305.6666666666665</v>
      </c>
      <c r="M150" s="296">
        <f t="shared" si="211"/>
        <v>745.71</v>
      </c>
      <c r="N150" s="296">
        <f t="shared" si="212"/>
        <v>404.69</v>
      </c>
      <c r="O150" s="296">
        <f t="shared" si="213"/>
        <v>23.81</v>
      </c>
      <c r="P150" s="296">
        <f t="shared" si="214"/>
        <v>13.33</v>
      </c>
      <c r="Q150" s="357"/>
      <c r="R150" s="296"/>
      <c r="S150" s="296">
        <f t="shared" si="215"/>
        <v>616.5600000000001</v>
      </c>
      <c r="T150" s="296">
        <f t="shared" si="216"/>
        <v>462.41999999999996</v>
      </c>
      <c r="U150" s="339"/>
      <c r="V150" s="296">
        <f t="shared" si="217"/>
        <v>3631.5399999999995</v>
      </c>
      <c r="W150" s="339">
        <v>3000</v>
      </c>
      <c r="X150" s="296">
        <f t="shared" si="218"/>
        <v>46157.45999999999</v>
      </c>
      <c r="Y150" s="309">
        <f t="shared" si="191"/>
        <v>184.45</v>
      </c>
      <c r="Z150" s="309">
        <f t="shared" si="192"/>
        <v>46.11</v>
      </c>
      <c r="AA150" s="309">
        <f t="shared" si="193"/>
        <v>11.53</v>
      </c>
      <c r="AB150" s="309">
        <f t="shared" si="194"/>
        <v>242.09</v>
      </c>
      <c r="AC150" s="309">
        <f t="shared" si="195"/>
        <v>290.05</v>
      </c>
      <c r="AD150" s="309">
        <f t="shared" si="196"/>
        <v>72.51</v>
      </c>
      <c r="AE150" s="309">
        <f t="shared" si="197"/>
        <v>18.13</v>
      </c>
      <c r="AF150" s="309">
        <f t="shared" si="198"/>
        <v>380.69</v>
      </c>
      <c r="AG150" s="309">
        <f t="shared" si="199"/>
        <v>138.6</v>
      </c>
      <c r="AH150" s="309"/>
      <c r="AI150" s="322" t="s">
        <v>179</v>
      </c>
    </row>
    <row r="151" spans="1:35" ht="12.75">
      <c r="A151" s="269">
        <v>58</v>
      </c>
      <c r="B151" s="269"/>
      <c r="C151" s="269" t="s">
        <v>226</v>
      </c>
      <c r="D151" s="269" t="s">
        <v>220</v>
      </c>
      <c r="E151" s="333">
        <v>1800</v>
      </c>
      <c r="F151" s="345"/>
      <c r="G151" s="334"/>
      <c r="H151" s="327">
        <v>80</v>
      </c>
      <c r="I151" s="327">
        <v>264</v>
      </c>
      <c r="J151" s="327">
        <v>300</v>
      </c>
      <c r="K151" s="296">
        <f t="shared" si="210"/>
        <v>2444</v>
      </c>
      <c r="L151" s="337">
        <v>2305.6666666666665</v>
      </c>
      <c r="M151" s="296">
        <f t="shared" si="211"/>
        <v>745.71</v>
      </c>
      <c r="N151" s="296">
        <f t="shared" si="212"/>
        <v>404.69</v>
      </c>
      <c r="O151" s="296">
        <f t="shared" si="213"/>
        <v>23.81</v>
      </c>
      <c r="P151" s="296">
        <f t="shared" si="214"/>
        <v>13.33</v>
      </c>
      <c r="Q151" s="357"/>
      <c r="R151" s="296"/>
      <c r="S151" s="296">
        <f t="shared" si="215"/>
        <v>616.5600000000001</v>
      </c>
      <c r="T151" s="296">
        <f t="shared" si="216"/>
        <v>462.41999999999996</v>
      </c>
      <c r="U151" s="339"/>
      <c r="V151" s="296">
        <f t="shared" si="217"/>
        <v>3631.5399999999995</v>
      </c>
      <c r="W151" s="339">
        <v>3000</v>
      </c>
      <c r="X151" s="296">
        <f t="shared" si="218"/>
        <v>46157.45999999999</v>
      </c>
      <c r="Y151" s="309">
        <f t="shared" si="191"/>
        <v>184.45</v>
      </c>
      <c r="Z151" s="309">
        <f t="shared" si="192"/>
        <v>46.11</v>
      </c>
      <c r="AA151" s="309">
        <f t="shared" si="193"/>
        <v>11.53</v>
      </c>
      <c r="AB151" s="309">
        <f t="shared" si="194"/>
        <v>242.09</v>
      </c>
      <c r="AC151" s="309">
        <f t="shared" si="195"/>
        <v>290.05</v>
      </c>
      <c r="AD151" s="309">
        <f t="shared" si="196"/>
        <v>72.51</v>
      </c>
      <c r="AE151" s="309">
        <f t="shared" si="197"/>
        <v>18.13</v>
      </c>
      <c r="AF151" s="309">
        <f t="shared" si="198"/>
        <v>380.69</v>
      </c>
      <c r="AG151" s="309">
        <f t="shared" si="199"/>
        <v>138.6</v>
      </c>
      <c r="AH151" s="309"/>
      <c r="AI151" s="322" t="s">
        <v>179</v>
      </c>
    </row>
    <row r="152" spans="1:35" ht="12.75">
      <c r="A152" s="269">
        <v>59</v>
      </c>
      <c r="B152" s="269"/>
      <c r="C152" s="269" t="s">
        <v>227</v>
      </c>
      <c r="D152" s="269" t="s">
        <v>220</v>
      </c>
      <c r="E152" s="333">
        <v>1800</v>
      </c>
      <c r="F152" s="345"/>
      <c r="G152" s="334"/>
      <c r="H152" s="327">
        <v>80</v>
      </c>
      <c r="I152" s="327">
        <v>264</v>
      </c>
      <c r="J152" s="327">
        <v>300</v>
      </c>
      <c r="K152" s="296">
        <f t="shared" si="210"/>
        <v>2444</v>
      </c>
      <c r="L152" s="337">
        <v>2305.6666666666665</v>
      </c>
      <c r="M152" s="296">
        <f t="shared" si="211"/>
        <v>745.71</v>
      </c>
      <c r="N152" s="296">
        <f t="shared" si="212"/>
        <v>404.69</v>
      </c>
      <c r="O152" s="296">
        <f t="shared" si="213"/>
        <v>23.81</v>
      </c>
      <c r="P152" s="296">
        <f t="shared" si="214"/>
        <v>13.33</v>
      </c>
      <c r="Q152" s="357"/>
      <c r="R152" s="296"/>
      <c r="S152" s="296">
        <f t="shared" si="215"/>
        <v>616.5600000000001</v>
      </c>
      <c r="T152" s="296">
        <f t="shared" si="216"/>
        <v>462.41999999999996</v>
      </c>
      <c r="U152" s="339"/>
      <c r="V152" s="296">
        <f t="shared" si="217"/>
        <v>3631.5399999999995</v>
      </c>
      <c r="W152" s="339">
        <v>3000</v>
      </c>
      <c r="X152" s="296">
        <f t="shared" si="218"/>
        <v>46157.45999999999</v>
      </c>
      <c r="Y152" s="309">
        <f t="shared" si="191"/>
        <v>184.45</v>
      </c>
      <c r="Z152" s="309">
        <f t="shared" si="192"/>
        <v>46.11</v>
      </c>
      <c r="AA152" s="309">
        <f t="shared" si="193"/>
        <v>11.53</v>
      </c>
      <c r="AB152" s="309">
        <f t="shared" si="194"/>
        <v>242.09</v>
      </c>
      <c r="AC152" s="309">
        <f t="shared" si="195"/>
        <v>290.05</v>
      </c>
      <c r="AD152" s="309">
        <f t="shared" si="196"/>
        <v>72.51</v>
      </c>
      <c r="AE152" s="309">
        <f t="shared" si="197"/>
        <v>18.13</v>
      </c>
      <c r="AF152" s="309">
        <f t="shared" si="198"/>
        <v>380.69</v>
      </c>
      <c r="AG152" s="309">
        <f t="shared" si="199"/>
        <v>138.6</v>
      </c>
      <c r="AH152" s="309"/>
      <c r="AI152" s="322" t="s">
        <v>179</v>
      </c>
    </row>
    <row r="153" spans="1:35" ht="12.75">
      <c r="A153" s="269">
        <v>60</v>
      </c>
      <c r="B153" s="269"/>
      <c r="C153" s="269" t="s">
        <v>228</v>
      </c>
      <c r="D153" s="269" t="s">
        <v>220</v>
      </c>
      <c r="E153" s="333">
        <v>1800</v>
      </c>
      <c r="F153" s="345"/>
      <c r="G153" s="334"/>
      <c r="H153" s="327">
        <v>80</v>
      </c>
      <c r="I153" s="327">
        <v>264</v>
      </c>
      <c r="J153" s="327">
        <v>300</v>
      </c>
      <c r="K153" s="296">
        <f t="shared" si="210"/>
        <v>2444</v>
      </c>
      <c r="L153" s="337">
        <v>2305.6666666666665</v>
      </c>
      <c r="M153" s="296">
        <f t="shared" si="211"/>
        <v>745.71</v>
      </c>
      <c r="N153" s="296">
        <f t="shared" si="212"/>
        <v>404.69</v>
      </c>
      <c r="O153" s="296">
        <f t="shared" si="213"/>
        <v>23.81</v>
      </c>
      <c r="P153" s="296">
        <f t="shared" si="214"/>
        <v>13.33</v>
      </c>
      <c r="Q153" s="357"/>
      <c r="R153" s="296"/>
      <c r="S153" s="296">
        <f t="shared" si="215"/>
        <v>616.5600000000001</v>
      </c>
      <c r="T153" s="296">
        <f t="shared" si="216"/>
        <v>462.41999999999996</v>
      </c>
      <c r="U153" s="339"/>
      <c r="V153" s="296">
        <f t="shared" si="217"/>
        <v>3631.5399999999995</v>
      </c>
      <c r="W153" s="339">
        <v>3000</v>
      </c>
      <c r="X153" s="296">
        <f t="shared" si="218"/>
        <v>46157.45999999999</v>
      </c>
      <c r="Y153" s="309">
        <f t="shared" si="191"/>
        <v>184.45</v>
      </c>
      <c r="Z153" s="309">
        <f t="shared" si="192"/>
        <v>46.11</v>
      </c>
      <c r="AA153" s="309">
        <f t="shared" si="193"/>
        <v>11.53</v>
      </c>
      <c r="AB153" s="309">
        <f t="shared" si="194"/>
        <v>242.09</v>
      </c>
      <c r="AC153" s="309">
        <f t="shared" si="195"/>
        <v>290.05</v>
      </c>
      <c r="AD153" s="309">
        <f t="shared" si="196"/>
        <v>72.51</v>
      </c>
      <c r="AE153" s="309">
        <f t="shared" si="197"/>
        <v>18.13</v>
      </c>
      <c r="AF153" s="309">
        <f t="shared" si="198"/>
        <v>380.69</v>
      </c>
      <c r="AG153" s="309">
        <f t="shared" si="199"/>
        <v>138.6</v>
      </c>
      <c r="AH153" s="309"/>
      <c r="AI153" s="322" t="s">
        <v>179</v>
      </c>
    </row>
    <row r="154" spans="1:35" ht="12.75">
      <c r="A154" s="269">
        <v>61</v>
      </c>
      <c r="B154" s="269"/>
      <c r="C154" s="269" t="s">
        <v>229</v>
      </c>
      <c r="D154" s="269" t="s">
        <v>220</v>
      </c>
      <c r="E154" s="333">
        <v>1800</v>
      </c>
      <c r="F154" s="345"/>
      <c r="G154" s="334"/>
      <c r="H154" s="327">
        <v>80</v>
      </c>
      <c r="I154" s="327">
        <v>264</v>
      </c>
      <c r="J154" s="327">
        <v>300</v>
      </c>
      <c r="K154" s="296">
        <f t="shared" si="210"/>
        <v>2444</v>
      </c>
      <c r="L154" s="337">
        <v>2305.6666666666665</v>
      </c>
      <c r="M154" s="296">
        <f t="shared" si="211"/>
        <v>745.71</v>
      </c>
      <c r="N154" s="296">
        <f t="shared" si="212"/>
        <v>404.69</v>
      </c>
      <c r="O154" s="296">
        <f t="shared" si="213"/>
        <v>23.81</v>
      </c>
      <c r="P154" s="296">
        <f t="shared" si="214"/>
        <v>13.33</v>
      </c>
      <c r="Q154" s="357"/>
      <c r="R154" s="296"/>
      <c r="S154" s="296">
        <f t="shared" si="215"/>
        <v>616.5600000000001</v>
      </c>
      <c r="T154" s="296">
        <f t="shared" si="216"/>
        <v>462.41999999999996</v>
      </c>
      <c r="U154" s="339"/>
      <c r="V154" s="296">
        <f t="shared" si="217"/>
        <v>3631.5399999999995</v>
      </c>
      <c r="W154" s="339">
        <v>3000</v>
      </c>
      <c r="X154" s="296">
        <f t="shared" si="218"/>
        <v>46157.45999999999</v>
      </c>
      <c r="Y154" s="309">
        <f t="shared" si="191"/>
        <v>184.45</v>
      </c>
      <c r="Z154" s="309">
        <f t="shared" si="192"/>
        <v>46.11</v>
      </c>
      <c r="AA154" s="309">
        <f t="shared" si="193"/>
        <v>11.53</v>
      </c>
      <c r="AB154" s="309">
        <f t="shared" si="194"/>
        <v>242.09</v>
      </c>
      <c r="AC154" s="309">
        <f t="shared" si="195"/>
        <v>290.05</v>
      </c>
      <c r="AD154" s="309">
        <f t="shared" si="196"/>
        <v>72.51</v>
      </c>
      <c r="AE154" s="309">
        <f t="shared" si="197"/>
        <v>18.13</v>
      </c>
      <c r="AF154" s="309">
        <f t="shared" si="198"/>
        <v>380.69</v>
      </c>
      <c r="AG154" s="309">
        <f t="shared" si="199"/>
        <v>138.6</v>
      </c>
      <c r="AH154" s="309"/>
      <c r="AI154" s="322" t="s">
        <v>179</v>
      </c>
    </row>
    <row r="155" spans="1:35" ht="12.75">
      <c r="A155" s="269">
        <v>62</v>
      </c>
      <c r="B155" s="269"/>
      <c r="C155" s="269" t="s">
        <v>230</v>
      </c>
      <c r="D155" s="269" t="s">
        <v>220</v>
      </c>
      <c r="E155" s="333">
        <v>1800</v>
      </c>
      <c r="F155" s="345"/>
      <c r="G155" s="334"/>
      <c r="H155" s="327">
        <v>80</v>
      </c>
      <c r="I155" s="327">
        <v>264</v>
      </c>
      <c r="J155" s="327">
        <v>300</v>
      </c>
      <c r="K155" s="296">
        <f t="shared" si="210"/>
        <v>2444</v>
      </c>
      <c r="L155" s="337">
        <v>2305.6666666666665</v>
      </c>
      <c r="M155" s="296">
        <f t="shared" si="211"/>
        <v>745.71</v>
      </c>
      <c r="N155" s="296">
        <f t="shared" si="212"/>
        <v>404.69</v>
      </c>
      <c r="O155" s="296">
        <f t="shared" si="213"/>
        <v>23.81</v>
      </c>
      <c r="P155" s="296">
        <f t="shared" si="214"/>
        <v>13.33</v>
      </c>
      <c r="Q155" s="357"/>
      <c r="R155" s="296"/>
      <c r="S155" s="296">
        <f t="shared" si="215"/>
        <v>616.5600000000001</v>
      </c>
      <c r="T155" s="296">
        <f t="shared" si="216"/>
        <v>462.41999999999996</v>
      </c>
      <c r="U155" s="339"/>
      <c r="V155" s="296">
        <f t="shared" si="217"/>
        <v>3631.5399999999995</v>
      </c>
      <c r="W155" s="339">
        <v>3000</v>
      </c>
      <c r="X155" s="296">
        <f t="shared" si="218"/>
        <v>46157.45999999999</v>
      </c>
      <c r="Y155" s="309">
        <f t="shared" si="191"/>
        <v>184.45</v>
      </c>
      <c r="Z155" s="309">
        <f t="shared" si="192"/>
        <v>46.11</v>
      </c>
      <c r="AA155" s="309">
        <f t="shared" si="193"/>
        <v>11.53</v>
      </c>
      <c r="AB155" s="309">
        <f t="shared" si="194"/>
        <v>242.09</v>
      </c>
      <c r="AC155" s="309">
        <f t="shared" si="195"/>
        <v>290.05</v>
      </c>
      <c r="AD155" s="309">
        <f t="shared" si="196"/>
        <v>72.51</v>
      </c>
      <c r="AE155" s="309">
        <f t="shared" si="197"/>
        <v>18.13</v>
      </c>
      <c r="AF155" s="309">
        <f t="shared" si="198"/>
        <v>380.69</v>
      </c>
      <c r="AG155" s="309">
        <f t="shared" si="199"/>
        <v>138.6</v>
      </c>
      <c r="AH155" s="309"/>
      <c r="AI155" s="322" t="s">
        <v>179</v>
      </c>
    </row>
    <row r="156" spans="1:35" ht="12.75">
      <c r="A156" s="269">
        <v>63</v>
      </c>
      <c r="B156" s="269"/>
      <c r="C156" s="269" t="s">
        <v>231</v>
      </c>
      <c r="D156" s="269" t="s">
        <v>220</v>
      </c>
      <c r="E156" s="333">
        <v>1800</v>
      </c>
      <c r="F156" s="345"/>
      <c r="G156" s="334"/>
      <c r="H156" s="327">
        <v>80</v>
      </c>
      <c r="I156" s="327">
        <v>264</v>
      </c>
      <c r="J156" s="327">
        <v>300</v>
      </c>
      <c r="K156" s="296">
        <f t="shared" si="210"/>
        <v>2444</v>
      </c>
      <c r="L156" s="337">
        <v>2305.6666666666665</v>
      </c>
      <c r="M156" s="296">
        <f t="shared" si="211"/>
        <v>745.71</v>
      </c>
      <c r="N156" s="296">
        <f t="shared" si="212"/>
        <v>404.69</v>
      </c>
      <c r="O156" s="296">
        <f t="shared" si="213"/>
        <v>23.81</v>
      </c>
      <c r="P156" s="296">
        <f t="shared" si="214"/>
        <v>13.33</v>
      </c>
      <c r="Q156" s="357"/>
      <c r="R156" s="296"/>
      <c r="S156" s="296">
        <f t="shared" si="215"/>
        <v>616.5600000000001</v>
      </c>
      <c r="T156" s="296">
        <f t="shared" si="216"/>
        <v>462.41999999999996</v>
      </c>
      <c r="U156" s="339"/>
      <c r="V156" s="296">
        <f t="shared" si="217"/>
        <v>3631.5399999999995</v>
      </c>
      <c r="W156" s="339">
        <v>3000</v>
      </c>
      <c r="X156" s="296">
        <f t="shared" si="218"/>
        <v>46157.45999999999</v>
      </c>
      <c r="Y156" s="309">
        <f t="shared" si="191"/>
        <v>184.45</v>
      </c>
      <c r="Z156" s="309">
        <f t="shared" si="192"/>
        <v>46.11</v>
      </c>
      <c r="AA156" s="309">
        <f t="shared" si="193"/>
        <v>11.53</v>
      </c>
      <c r="AB156" s="309">
        <f t="shared" si="194"/>
        <v>242.09</v>
      </c>
      <c r="AC156" s="309">
        <f t="shared" si="195"/>
        <v>290.05</v>
      </c>
      <c r="AD156" s="309">
        <f t="shared" si="196"/>
        <v>72.51</v>
      </c>
      <c r="AE156" s="309">
        <f t="shared" si="197"/>
        <v>18.13</v>
      </c>
      <c r="AF156" s="309">
        <f t="shared" si="198"/>
        <v>380.69</v>
      </c>
      <c r="AG156" s="309">
        <f t="shared" si="199"/>
        <v>138.6</v>
      </c>
      <c r="AH156" s="309"/>
      <c r="AI156" s="322" t="s">
        <v>179</v>
      </c>
    </row>
    <row r="157" spans="1:35" ht="12.75">
      <c r="A157" s="269">
        <v>64</v>
      </c>
      <c r="B157" s="269"/>
      <c r="C157" s="269" t="s">
        <v>232</v>
      </c>
      <c r="D157" s="269" t="s">
        <v>220</v>
      </c>
      <c r="E157" s="333">
        <v>1800</v>
      </c>
      <c r="F157" s="345"/>
      <c r="G157" s="334"/>
      <c r="H157" s="327">
        <v>80</v>
      </c>
      <c r="I157" s="327">
        <v>264</v>
      </c>
      <c r="J157" s="327">
        <v>300</v>
      </c>
      <c r="K157" s="296">
        <f t="shared" si="210"/>
        <v>2444</v>
      </c>
      <c r="L157" s="337">
        <v>2305.6666666666665</v>
      </c>
      <c r="M157" s="296">
        <f t="shared" si="211"/>
        <v>745.71</v>
      </c>
      <c r="N157" s="296">
        <f t="shared" si="212"/>
        <v>404.69</v>
      </c>
      <c r="O157" s="296">
        <f t="shared" si="213"/>
        <v>23.81</v>
      </c>
      <c r="P157" s="296">
        <f t="shared" si="214"/>
        <v>13.33</v>
      </c>
      <c r="Q157" s="357"/>
      <c r="R157" s="296"/>
      <c r="S157" s="296">
        <f t="shared" si="215"/>
        <v>616.5600000000001</v>
      </c>
      <c r="T157" s="296">
        <f t="shared" si="216"/>
        <v>462.41999999999996</v>
      </c>
      <c r="U157" s="339"/>
      <c r="V157" s="296">
        <f t="shared" si="217"/>
        <v>3631.5399999999995</v>
      </c>
      <c r="W157" s="339">
        <v>3000</v>
      </c>
      <c r="X157" s="296">
        <f t="shared" si="218"/>
        <v>46157.45999999999</v>
      </c>
      <c r="Y157" s="309">
        <f t="shared" si="191"/>
        <v>184.45</v>
      </c>
      <c r="Z157" s="309">
        <f t="shared" si="192"/>
        <v>46.11</v>
      </c>
      <c r="AA157" s="309">
        <f t="shared" si="193"/>
        <v>11.53</v>
      </c>
      <c r="AB157" s="309">
        <f t="shared" si="194"/>
        <v>242.09</v>
      </c>
      <c r="AC157" s="309">
        <f t="shared" si="195"/>
        <v>290.05</v>
      </c>
      <c r="AD157" s="309">
        <f t="shared" si="196"/>
        <v>72.51</v>
      </c>
      <c r="AE157" s="309">
        <f t="shared" si="197"/>
        <v>18.13</v>
      </c>
      <c r="AF157" s="309">
        <f t="shared" si="198"/>
        <v>380.69</v>
      </c>
      <c r="AG157" s="309">
        <f t="shared" si="199"/>
        <v>138.6</v>
      </c>
      <c r="AH157" s="309"/>
      <c r="AI157" s="322" t="s">
        <v>179</v>
      </c>
    </row>
    <row r="158" spans="1:35" ht="12.75">
      <c r="A158" s="269">
        <v>65</v>
      </c>
      <c r="B158" s="269"/>
      <c r="C158" s="269" t="s">
        <v>233</v>
      </c>
      <c r="D158" s="269" t="s">
        <v>220</v>
      </c>
      <c r="E158" s="333">
        <v>1800</v>
      </c>
      <c r="F158" s="345"/>
      <c r="G158" s="334"/>
      <c r="H158" s="327">
        <v>80</v>
      </c>
      <c r="I158" s="327">
        <v>264</v>
      </c>
      <c r="J158" s="327">
        <v>300</v>
      </c>
      <c r="K158" s="296">
        <f t="shared" si="210"/>
        <v>2444</v>
      </c>
      <c r="L158" s="337">
        <v>2305.6666666666665</v>
      </c>
      <c r="M158" s="296">
        <f t="shared" si="211"/>
        <v>745.71</v>
      </c>
      <c r="N158" s="296">
        <f t="shared" si="212"/>
        <v>404.69</v>
      </c>
      <c r="O158" s="296">
        <f t="shared" si="213"/>
        <v>23.81</v>
      </c>
      <c r="P158" s="296">
        <f t="shared" si="214"/>
        <v>13.33</v>
      </c>
      <c r="Q158" s="357"/>
      <c r="R158" s="296"/>
      <c r="S158" s="296">
        <f t="shared" si="215"/>
        <v>616.5600000000001</v>
      </c>
      <c r="T158" s="296">
        <f t="shared" si="216"/>
        <v>462.41999999999996</v>
      </c>
      <c r="U158" s="339"/>
      <c r="V158" s="296">
        <f t="shared" si="217"/>
        <v>3631.5399999999995</v>
      </c>
      <c r="W158" s="339">
        <v>3000</v>
      </c>
      <c r="X158" s="296">
        <f t="shared" si="218"/>
        <v>46157.45999999999</v>
      </c>
      <c r="Y158" s="309">
        <f aca="true" t="shared" si="219" ref="Y158:Y174">ROUND(L158*8%,2)</f>
        <v>184.45</v>
      </c>
      <c r="Z158" s="309">
        <f aca="true" t="shared" si="220" ref="Z158:Z174">ROUND(L158*2%,2)</f>
        <v>46.11</v>
      </c>
      <c r="AA158" s="309">
        <f aca="true" t="shared" si="221" ref="AA158:AA174">ROUND(L158*0.5%,2)</f>
        <v>11.53</v>
      </c>
      <c r="AB158" s="309">
        <f aca="true" t="shared" si="222" ref="AB158:AB174">SUM(Y158:AA158)</f>
        <v>242.09</v>
      </c>
      <c r="AC158" s="309">
        <f aca="true" t="shared" si="223" ref="AC158:AC174">ROUND(IF(L158&gt;3453*105%,L158,3453*105%)*8%,2)</f>
        <v>290.05</v>
      </c>
      <c r="AD158" s="309">
        <f aca="true" t="shared" si="224" ref="AD158:AD174">ROUND(IF(L158&gt;3453*105%,L158,3453*105%)*2%,2)</f>
        <v>72.51</v>
      </c>
      <c r="AE158" s="309">
        <f aca="true" t="shared" si="225" ref="AE158:AE174">ROUND(IF(L158&gt;3453*105%,L158,3453*105%)*0.5%,2)</f>
        <v>18.13</v>
      </c>
      <c r="AF158" s="309">
        <f aca="true" t="shared" si="226" ref="AF158:AF174">SUM(AC158:AE158)</f>
        <v>380.69</v>
      </c>
      <c r="AG158" s="309">
        <f aca="true" t="shared" si="227" ref="AG158:AG174">AF158-AB158</f>
        <v>138.6</v>
      </c>
      <c r="AH158" s="309"/>
      <c r="AI158" s="322" t="s">
        <v>179</v>
      </c>
    </row>
    <row r="159" spans="1:35" ht="12.75">
      <c r="A159" s="269">
        <v>66</v>
      </c>
      <c r="B159" s="269"/>
      <c r="C159" s="269" t="s">
        <v>234</v>
      </c>
      <c r="D159" s="269" t="s">
        <v>220</v>
      </c>
      <c r="E159" s="333">
        <v>1800</v>
      </c>
      <c r="F159" s="345"/>
      <c r="G159" s="334"/>
      <c r="H159" s="327">
        <v>80</v>
      </c>
      <c r="I159" s="327">
        <v>264</v>
      </c>
      <c r="J159" s="327">
        <v>300</v>
      </c>
      <c r="K159" s="296">
        <f aca="true" t="shared" si="228" ref="K159:K181">SUM(E159:J159)</f>
        <v>2444</v>
      </c>
      <c r="L159" s="337">
        <v>2305.6666666666665</v>
      </c>
      <c r="M159" s="296">
        <f aca="true" t="shared" si="229" ref="M159:M181">ROUND(IF(L159&gt;4660.7,L159,4660.7)*16%,2)</f>
        <v>745.71</v>
      </c>
      <c r="N159" s="296">
        <f aca="true" t="shared" si="230" ref="N159:N181">ROUND(IF(L159&gt;4761.1,L159,4761.1)*8.5%,2)</f>
        <v>404.69</v>
      </c>
      <c r="O159" s="296">
        <f aca="true" t="shared" si="231" ref="O159:O181">ROUND(IF(L159&gt;4761.1,L159,4761.1)*0.5%,2)</f>
        <v>23.81</v>
      </c>
      <c r="P159" s="296">
        <f aca="true" t="shared" si="232" ref="P159:P181">ROUND(IF(L159&gt;4761.1,L159,4761.1)*0.28%,2)</f>
        <v>13.33</v>
      </c>
      <c r="Q159" s="357"/>
      <c r="R159" s="296"/>
      <c r="S159" s="296">
        <f aca="true" t="shared" si="233" ref="S159:S181">((SUM(E159:I159)+U159)*12+J159*7+W159)*2%</f>
        <v>616.5600000000001</v>
      </c>
      <c r="T159" s="296">
        <f aca="true" t="shared" si="234" ref="T159:T181">((SUM(E159:I159)+U159)*12+J159*7+W159)*1.5%</f>
        <v>462.41999999999996</v>
      </c>
      <c r="U159" s="339"/>
      <c r="V159" s="296">
        <f aca="true" t="shared" si="235" ref="V159:V181">SUM(K159:R159)-L159+U159</f>
        <v>3631.5399999999995</v>
      </c>
      <c r="W159" s="339">
        <v>3000</v>
      </c>
      <c r="X159" s="296">
        <f aca="true" t="shared" si="236" ref="X159:X181">V159*12+W159+S159+T159-J159*5</f>
        <v>46157.45999999999</v>
      </c>
      <c r="Y159" s="309">
        <f t="shared" si="219"/>
        <v>184.45</v>
      </c>
      <c r="Z159" s="309">
        <f t="shared" si="220"/>
        <v>46.11</v>
      </c>
      <c r="AA159" s="309">
        <f t="shared" si="221"/>
        <v>11.53</v>
      </c>
      <c r="AB159" s="309">
        <f t="shared" si="222"/>
        <v>242.09</v>
      </c>
      <c r="AC159" s="309">
        <f t="shared" si="223"/>
        <v>290.05</v>
      </c>
      <c r="AD159" s="309">
        <f t="shared" si="224"/>
        <v>72.51</v>
      </c>
      <c r="AE159" s="309">
        <f t="shared" si="225"/>
        <v>18.13</v>
      </c>
      <c r="AF159" s="309">
        <f t="shared" si="226"/>
        <v>380.69</v>
      </c>
      <c r="AG159" s="309">
        <f t="shared" si="227"/>
        <v>138.6</v>
      </c>
      <c r="AH159" s="309"/>
      <c r="AI159" s="322" t="s">
        <v>179</v>
      </c>
    </row>
    <row r="160" spans="1:35" ht="12.75">
      <c r="A160" s="269">
        <v>67</v>
      </c>
      <c r="B160" s="269"/>
      <c r="C160" s="269" t="s">
        <v>235</v>
      </c>
      <c r="D160" s="269" t="s">
        <v>220</v>
      </c>
      <c r="E160" s="333">
        <v>1800</v>
      </c>
      <c r="F160" s="345"/>
      <c r="G160" s="334"/>
      <c r="H160" s="327">
        <v>80</v>
      </c>
      <c r="I160" s="327">
        <v>264</v>
      </c>
      <c r="J160" s="327">
        <v>300</v>
      </c>
      <c r="K160" s="296">
        <f t="shared" si="228"/>
        <v>2444</v>
      </c>
      <c r="L160" s="337">
        <v>2305.6666666666665</v>
      </c>
      <c r="M160" s="296">
        <f t="shared" si="229"/>
        <v>745.71</v>
      </c>
      <c r="N160" s="296">
        <f t="shared" si="230"/>
        <v>404.69</v>
      </c>
      <c r="O160" s="296">
        <f t="shared" si="231"/>
        <v>23.81</v>
      </c>
      <c r="P160" s="296">
        <f t="shared" si="232"/>
        <v>13.33</v>
      </c>
      <c r="Q160" s="357"/>
      <c r="R160" s="296"/>
      <c r="S160" s="296">
        <f t="shared" si="233"/>
        <v>616.5600000000001</v>
      </c>
      <c r="T160" s="296">
        <f t="shared" si="234"/>
        <v>462.41999999999996</v>
      </c>
      <c r="U160" s="339"/>
      <c r="V160" s="296">
        <f t="shared" si="235"/>
        <v>3631.5399999999995</v>
      </c>
      <c r="W160" s="339">
        <v>3000</v>
      </c>
      <c r="X160" s="296">
        <f t="shared" si="236"/>
        <v>46157.45999999999</v>
      </c>
      <c r="Y160" s="309">
        <f t="shared" si="219"/>
        <v>184.45</v>
      </c>
      <c r="Z160" s="309">
        <f t="shared" si="220"/>
        <v>46.11</v>
      </c>
      <c r="AA160" s="309">
        <f t="shared" si="221"/>
        <v>11.53</v>
      </c>
      <c r="AB160" s="309">
        <f t="shared" si="222"/>
        <v>242.09</v>
      </c>
      <c r="AC160" s="309">
        <f t="shared" si="223"/>
        <v>290.05</v>
      </c>
      <c r="AD160" s="309">
        <f t="shared" si="224"/>
        <v>72.51</v>
      </c>
      <c r="AE160" s="309">
        <f t="shared" si="225"/>
        <v>18.13</v>
      </c>
      <c r="AF160" s="309">
        <f t="shared" si="226"/>
        <v>380.69</v>
      </c>
      <c r="AG160" s="309">
        <f t="shared" si="227"/>
        <v>138.6</v>
      </c>
      <c r="AH160" s="309"/>
      <c r="AI160" s="322" t="s">
        <v>179</v>
      </c>
    </row>
    <row r="161" spans="1:35" ht="12.75">
      <c r="A161" s="269">
        <v>68</v>
      </c>
      <c r="B161" s="269"/>
      <c r="C161" s="269" t="s">
        <v>236</v>
      </c>
      <c r="D161" s="269" t="s">
        <v>220</v>
      </c>
      <c r="E161" s="333">
        <v>1800</v>
      </c>
      <c r="F161" s="345"/>
      <c r="G161" s="334"/>
      <c r="H161" s="327">
        <v>80</v>
      </c>
      <c r="I161" s="327">
        <v>264</v>
      </c>
      <c r="J161" s="327">
        <v>300</v>
      </c>
      <c r="K161" s="296">
        <f t="shared" si="228"/>
        <v>2444</v>
      </c>
      <c r="L161" s="337">
        <v>2305.6666666666665</v>
      </c>
      <c r="M161" s="296">
        <f t="shared" si="229"/>
        <v>745.71</v>
      </c>
      <c r="N161" s="296">
        <f t="shared" si="230"/>
        <v>404.69</v>
      </c>
      <c r="O161" s="296">
        <f t="shared" si="231"/>
        <v>23.81</v>
      </c>
      <c r="P161" s="296">
        <f t="shared" si="232"/>
        <v>13.33</v>
      </c>
      <c r="Q161" s="357"/>
      <c r="R161" s="296"/>
      <c r="S161" s="296">
        <f t="shared" si="233"/>
        <v>616.5600000000001</v>
      </c>
      <c r="T161" s="296">
        <f t="shared" si="234"/>
        <v>462.41999999999996</v>
      </c>
      <c r="U161" s="339"/>
      <c r="V161" s="296">
        <f t="shared" si="235"/>
        <v>3631.5399999999995</v>
      </c>
      <c r="W161" s="339">
        <v>3000</v>
      </c>
      <c r="X161" s="296">
        <f t="shared" si="236"/>
        <v>46157.45999999999</v>
      </c>
      <c r="Y161" s="309">
        <f t="shared" si="219"/>
        <v>184.45</v>
      </c>
      <c r="Z161" s="309">
        <f t="shared" si="220"/>
        <v>46.11</v>
      </c>
      <c r="AA161" s="309">
        <f t="shared" si="221"/>
        <v>11.53</v>
      </c>
      <c r="AB161" s="309">
        <f t="shared" si="222"/>
        <v>242.09</v>
      </c>
      <c r="AC161" s="309">
        <f t="shared" si="223"/>
        <v>290.05</v>
      </c>
      <c r="AD161" s="309">
        <f t="shared" si="224"/>
        <v>72.51</v>
      </c>
      <c r="AE161" s="309">
        <f t="shared" si="225"/>
        <v>18.13</v>
      </c>
      <c r="AF161" s="309">
        <f t="shared" si="226"/>
        <v>380.69</v>
      </c>
      <c r="AG161" s="309">
        <f t="shared" si="227"/>
        <v>138.6</v>
      </c>
      <c r="AH161" s="309"/>
      <c r="AI161" s="322" t="s">
        <v>179</v>
      </c>
    </row>
    <row r="162" spans="1:35" ht="12.75">
      <c r="A162" s="269">
        <v>69</v>
      </c>
      <c r="B162" s="269"/>
      <c r="C162" s="269" t="s">
        <v>237</v>
      </c>
      <c r="D162" s="269" t="s">
        <v>220</v>
      </c>
      <c r="E162" s="333">
        <v>1800</v>
      </c>
      <c r="F162" s="345"/>
      <c r="G162" s="334"/>
      <c r="H162" s="327">
        <v>80</v>
      </c>
      <c r="I162" s="327">
        <v>264</v>
      </c>
      <c r="J162" s="327">
        <v>300</v>
      </c>
      <c r="K162" s="296">
        <f t="shared" si="228"/>
        <v>2444</v>
      </c>
      <c r="L162" s="337">
        <v>2305.6666666666665</v>
      </c>
      <c r="M162" s="296">
        <f t="shared" si="229"/>
        <v>745.71</v>
      </c>
      <c r="N162" s="296">
        <f t="shared" si="230"/>
        <v>404.69</v>
      </c>
      <c r="O162" s="296">
        <f t="shared" si="231"/>
        <v>23.81</v>
      </c>
      <c r="P162" s="296">
        <f t="shared" si="232"/>
        <v>13.33</v>
      </c>
      <c r="Q162" s="357"/>
      <c r="R162" s="296"/>
      <c r="S162" s="296">
        <f t="shared" si="233"/>
        <v>616.5600000000001</v>
      </c>
      <c r="T162" s="296">
        <f t="shared" si="234"/>
        <v>462.41999999999996</v>
      </c>
      <c r="U162" s="339"/>
      <c r="V162" s="296">
        <f t="shared" si="235"/>
        <v>3631.5399999999995</v>
      </c>
      <c r="W162" s="339">
        <v>3000</v>
      </c>
      <c r="X162" s="296">
        <f t="shared" si="236"/>
        <v>46157.45999999999</v>
      </c>
      <c r="Y162" s="309">
        <f t="shared" si="219"/>
        <v>184.45</v>
      </c>
      <c r="Z162" s="309">
        <f t="shared" si="220"/>
        <v>46.11</v>
      </c>
      <c r="AA162" s="309">
        <f t="shared" si="221"/>
        <v>11.53</v>
      </c>
      <c r="AB162" s="309">
        <f t="shared" si="222"/>
        <v>242.09</v>
      </c>
      <c r="AC162" s="309">
        <f t="shared" si="223"/>
        <v>290.05</v>
      </c>
      <c r="AD162" s="309">
        <f t="shared" si="224"/>
        <v>72.51</v>
      </c>
      <c r="AE162" s="309">
        <f t="shared" si="225"/>
        <v>18.13</v>
      </c>
      <c r="AF162" s="309">
        <f t="shared" si="226"/>
        <v>380.69</v>
      </c>
      <c r="AG162" s="309">
        <f t="shared" si="227"/>
        <v>138.6</v>
      </c>
      <c r="AH162" s="309"/>
      <c r="AI162" s="322" t="s">
        <v>179</v>
      </c>
    </row>
    <row r="163" spans="1:35" ht="12.75">
      <c r="A163" s="269">
        <v>70</v>
      </c>
      <c r="B163" s="269"/>
      <c r="C163" s="269" t="s">
        <v>238</v>
      </c>
      <c r="D163" s="269" t="s">
        <v>220</v>
      </c>
      <c r="E163" s="333">
        <v>1800</v>
      </c>
      <c r="F163" s="345"/>
      <c r="G163" s="334"/>
      <c r="H163" s="327">
        <v>80</v>
      </c>
      <c r="I163" s="327">
        <v>264</v>
      </c>
      <c r="J163" s="327">
        <v>300</v>
      </c>
      <c r="K163" s="296">
        <f t="shared" si="228"/>
        <v>2444</v>
      </c>
      <c r="L163" s="337">
        <v>2305.6666666666665</v>
      </c>
      <c r="M163" s="296">
        <f t="shared" si="229"/>
        <v>745.71</v>
      </c>
      <c r="N163" s="296">
        <f t="shared" si="230"/>
        <v>404.69</v>
      </c>
      <c r="O163" s="296">
        <f t="shared" si="231"/>
        <v>23.81</v>
      </c>
      <c r="P163" s="296">
        <f t="shared" si="232"/>
        <v>13.33</v>
      </c>
      <c r="Q163" s="357"/>
      <c r="R163" s="296"/>
      <c r="S163" s="296">
        <f t="shared" si="233"/>
        <v>616.5600000000001</v>
      </c>
      <c r="T163" s="296">
        <f t="shared" si="234"/>
        <v>462.41999999999996</v>
      </c>
      <c r="U163" s="339"/>
      <c r="V163" s="296">
        <f t="shared" si="235"/>
        <v>3631.5399999999995</v>
      </c>
      <c r="W163" s="339">
        <v>3000</v>
      </c>
      <c r="X163" s="296">
        <f t="shared" si="236"/>
        <v>46157.45999999999</v>
      </c>
      <c r="Y163" s="309">
        <f t="shared" si="219"/>
        <v>184.45</v>
      </c>
      <c r="Z163" s="309">
        <f t="shared" si="220"/>
        <v>46.11</v>
      </c>
      <c r="AA163" s="309">
        <f t="shared" si="221"/>
        <v>11.53</v>
      </c>
      <c r="AB163" s="309">
        <f t="shared" si="222"/>
        <v>242.09</v>
      </c>
      <c r="AC163" s="309">
        <f t="shared" si="223"/>
        <v>290.05</v>
      </c>
      <c r="AD163" s="309">
        <f t="shared" si="224"/>
        <v>72.51</v>
      </c>
      <c r="AE163" s="309">
        <f t="shared" si="225"/>
        <v>18.13</v>
      </c>
      <c r="AF163" s="309">
        <f t="shared" si="226"/>
        <v>380.69</v>
      </c>
      <c r="AG163" s="309">
        <f t="shared" si="227"/>
        <v>138.6</v>
      </c>
      <c r="AH163" s="309"/>
      <c r="AI163" s="322" t="s">
        <v>179</v>
      </c>
    </row>
    <row r="164" spans="1:35" ht="12.75">
      <c r="A164" s="269">
        <v>71</v>
      </c>
      <c r="B164" s="269"/>
      <c r="C164" s="269" t="s">
        <v>239</v>
      </c>
      <c r="D164" s="269" t="s">
        <v>215</v>
      </c>
      <c r="E164" s="333">
        <v>1800</v>
      </c>
      <c r="F164" s="345"/>
      <c r="G164" s="334"/>
      <c r="H164" s="327">
        <v>80</v>
      </c>
      <c r="I164" s="327">
        <v>264</v>
      </c>
      <c r="J164" s="327">
        <v>300</v>
      </c>
      <c r="K164" s="296">
        <f t="shared" si="228"/>
        <v>2444</v>
      </c>
      <c r="L164" s="337">
        <v>2305.6666666666665</v>
      </c>
      <c r="M164" s="296">
        <f t="shared" si="229"/>
        <v>745.71</v>
      </c>
      <c r="N164" s="296">
        <f t="shared" si="230"/>
        <v>404.69</v>
      </c>
      <c r="O164" s="296">
        <f t="shared" si="231"/>
        <v>23.81</v>
      </c>
      <c r="P164" s="296">
        <f t="shared" si="232"/>
        <v>13.33</v>
      </c>
      <c r="Q164" s="357"/>
      <c r="R164" s="296"/>
      <c r="S164" s="296">
        <f t="shared" si="233"/>
        <v>616.5600000000001</v>
      </c>
      <c r="T164" s="296">
        <f t="shared" si="234"/>
        <v>462.41999999999996</v>
      </c>
      <c r="U164" s="339"/>
      <c r="V164" s="296">
        <f t="shared" si="235"/>
        <v>3631.5399999999995</v>
      </c>
      <c r="W164" s="339">
        <v>3000</v>
      </c>
      <c r="X164" s="296">
        <f t="shared" si="236"/>
        <v>46157.45999999999</v>
      </c>
      <c r="Y164" s="309">
        <f t="shared" si="219"/>
        <v>184.45</v>
      </c>
      <c r="Z164" s="309">
        <f t="shared" si="220"/>
        <v>46.11</v>
      </c>
      <c r="AA164" s="309">
        <f t="shared" si="221"/>
        <v>11.53</v>
      </c>
      <c r="AB164" s="309">
        <f t="shared" si="222"/>
        <v>242.09</v>
      </c>
      <c r="AC164" s="309">
        <f t="shared" si="223"/>
        <v>290.05</v>
      </c>
      <c r="AD164" s="309">
        <f t="shared" si="224"/>
        <v>72.51</v>
      </c>
      <c r="AE164" s="309">
        <f t="shared" si="225"/>
        <v>18.13</v>
      </c>
      <c r="AF164" s="309">
        <f t="shared" si="226"/>
        <v>380.69</v>
      </c>
      <c r="AG164" s="309">
        <f t="shared" si="227"/>
        <v>138.6</v>
      </c>
      <c r="AH164" s="309"/>
      <c r="AI164" s="322" t="s">
        <v>179</v>
      </c>
    </row>
    <row r="165" spans="1:35" ht="12.75">
      <c r="A165" s="269">
        <v>72</v>
      </c>
      <c r="B165" s="269"/>
      <c r="C165" s="269" t="s">
        <v>240</v>
      </c>
      <c r="D165" s="269" t="s">
        <v>220</v>
      </c>
      <c r="E165" s="333">
        <v>1800</v>
      </c>
      <c r="F165" s="346"/>
      <c r="G165" s="334"/>
      <c r="H165" s="327">
        <v>80</v>
      </c>
      <c r="I165" s="327">
        <v>264</v>
      </c>
      <c r="J165" s="327">
        <v>300</v>
      </c>
      <c r="K165" s="296">
        <f t="shared" si="228"/>
        <v>2444</v>
      </c>
      <c r="L165" s="337">
        <v>2305.6666666666665</v>
      </c>
      <c r="M165" s="296">
        <f t="shared" si="229"/>
        <v>745.71</v>
      </c>
      <c r="N165" s="296">
        <f t="shared" si="230"/>
        <v>404.69</v>
      </c>
      <c r="O165" s="296">
        <f t="shared" si="231"/>
        <v>23.81</v>
      </c>
      <c r="P165" s="296">
        <f t="shared" si="232"/>
        <v>13.33</v>
      </c>
      <c r="Q165" s="357"/>
      <c r="R165" s="296"/>
      <c r="S165" s="296">
        <f t="shared" si="233"/>
        <v>616.5600000000001</v>
      </c>
      <c r="T165" s="296">
        <f t="shared" si="234"/>
        <v>462.41999999999996</v>
      </c>
      <c r="U165" s="339"/>
      <c r="V165" s="296">
        <f t="shared" si="235"/>
        <v>3631.5399999999995</v>
      </c>
      <c r="W165" s="339">
        <v>3000</v>
      </c>
      <c r="X165" s="296">
        <f t="shared" si="236"/>
        <v>46157.45999999999</v>
      </c>
      <c r="Y165" s="309">
        <f t="shared" si="219"/>
        <v>184.45</v>
      </c>
      <c r="Z165" s="309">
        <f t="shared" si="220"/>
        <v>46.11</v>
      </c>
      <c r="AA165" s="309">
        <f t="shared" si="221"/>
        <v>11.53</v>
      </c>
      <c r="AB165" s="309">
        <f t="shared" si="222"/>
        <v>242.09</v>
      </c>
      <c r="AC165" s="309">
        <f t="shared" si="223"/>
        <v>290.05</v>
      </c>
      <c r="AD165" s="309">
        <f t="shared" si="224"/>
        <v>72.51</v>
      </c>
      <c r="AE165" s="309">
        <f t="shared" si="225"/>
        <v>18.13</v>
      </c>
      <c r="AF165" s="309">
        <f t="shared" si="226"/>
        <v>380.69</v>
      </c>
      <c r="AG165" s="309">
        <f t="shared" si="227"/>
        <v>138.6</v>
      </c>
      <c r="AH165" s="309"/>
      <c r="AI165" s="322" t="s">
        <v>179</v>
      </c>
    </row>
    <row r="166" spans="1:35" ht="12.75">
      <c r="A166" s="269">
        <v>73</v>
      </c>
      <c r="B166" s="269"/>
      <c r="C166" s="269" t="s">
        <v>241</v>
      </c>
      <c r="D166" s="269" t="s">
        <v>220</v>
      </c>
      <c r="E166" s="333">
        <v>1800</v>
      </c>
      <c r="F166" s="346"/>
      <c r="G166" s="334"/>
      <c r="H166" s="327">
        <v>80</v>
      </c>
      <c r="I166" s="327">
        <v>264</v>
      </c>
      <c r="J166" s="327">
        <v>300</v>
      </c>
      <c r="K166" s="296">
        <f t="shared" si="228"/>
        <v>2444</v>
      </c>
      <c r="L166" s="337">
        <v>2305.6666666666665</v>
      </c>
      <c r="M166" s="296">
        <f t="shared" si="229"/>
        <v>745.71</v>
      </c>
      <c r="N166" s="296">
        <f t="shared" si="230"/>
        <v>404.69</v>
      </c>
      <c r="O166" s="296">
        <f t="shared" si="231"/>
        <v>23.81</v>
      </c>
      <c r="P166" s="296">
        <f t="shared" si="232"/>
        <v>13.33</v>
      </c>
      <c r="Q166" s="357"/>
      <c r="R166" s="296"/>
      <c r="S166" s="296">
        <f t="shared" si="233"/>
        <v>616.5600000000001</v>
      </c>
      <c r="T166" s="296">
        <f t="shared" si="234"/>
        <v>462.41999999999996</v>
      </c>
      <c r="U166" s="339"/>
      <c r="V166" s="296">
        <f t="shared" si="235"/>
        <v>3631.5399999999995</v>
      </c>
      <c r="W166" s="339">
        <v>3000</v>
      </c>
      <c r="X166" s="296">
        <f t="shared" si="236"/>
        <v>46157.45999999999</v>
      </c>
      <c r="Y166" s="309">
        <f t="shared" si="219"/>
        <v>184.45</v>
      </c>
      <c r="Z166" s="309">
        <f t="shared" si="220"/>
        <v>46.11</v>
      </c>
      <c r="AA166" s="309">
        <f t="shared" si="221"/>
        <v>11.53</v>
      </c>
      <c r="AB166" s="309">
        <f t="shared" si="222"/>
        <v>242.09</v>
      </c>
      <c r="AC166" s="309">
        <f t="shared" si="223"/>
        <v>290.05</v>
      </c>
      <c r="AD166" s="309">
        <f t="shared" si="224"/>
        <v>72.51</v>
      </c>
      <c r="AE166" s="309">
        <f t="shared" si="225"/>
        <v>18.13</v>
      </c>
      <c r="AF166" s="309">
        <f t="shared" si="226"/>
        <v>380.69</v>
      </c>
      <c r="AG166" s="309">
        <f t="shared" si="227"/>
        <v>138.6</v>
      </c>
      <c r="AH166" s="309"/>
      <c r="AI166" s="322" t="s">
        <v>179</v>
      </c>
    </row>
    <row r="167" spans="1:35" ht="12.75">
      <c r="A167" s="269">
        <v>74</v>
      </c>
      <c r="B167" s="269"/>
      <c r="C167" s="269" t="s">
        <v>242</v>
      </c>
      <c r="D167" s="269" t="s">
        <v>220</v>
      </c>
      <c r="E167" s="333">
        <v>1800</v>
      </c>
      <c r="F167" s="346"/>
      <c r="G167" s="334"/>
      <c r="H167" s="327">
        <v>80</v>
      </c>
      <c r="I167" s="327">
        <v>264</v>
      </c>
      <c r="J167" s="327">
        <v>300</v>
      </c>
      <c r="K167" s="296">
        <f t="shared" si="228"/>
        <v>2444</v>
      </c>
      <c r="L167" s="337">
        <v>2305.6666666666665</v>
      </c>
      <c r="M167" s="296">
        <f t="shared" si="229"/>
        <v>745.71</v>
      </c>
      <c r="N167" s="296">
        <f t="shared" si="230"/>
        <v>404.69</v>
      </c>
      <c r="O167" s="296">
        <f t="shared" si="231"/>
        <v>23.81</v>
      </c>
      <c r="P167" s="296">
        <f t="shared" si="232"/>
        <v>13.33</v>
      </c>
      <c r="Q167" s="357"/>
      <c r="R167" s="296"/>
      <c r="S167" s="296">
        <f t="shared" si="233"/>
        <v>616.5600000000001</v>
      </c>
      <c r="T167" s="296">
        <f t="shared" si="234"/>
        <v>462.41999999999996</v>
      </c>
      <c r="U167" s="339"/>
      <c r="V167" s="296">
        <f t="shared" si="235"/>
        <v>3631.5399999999995</v>
      </c>
      <c r="W167" s="339">
        <v>3000</v>
      </c>
      <c r="X167" s="296">
        <f t="shared" si="236"/>
        <v>46157.45999999999</v>
      </c>
      <c r="Y167" s="309">
        <f t="shared" si="219"/>
        <v>184.45</v>
      </c>
      <c r="Z167" s="309">
        <f t="shared" si="220"/>
        <v>46.11</v>
      </c>
      <c r="AA167" s="309">
        <f t="shared" si="221"/>
        <v>11.53</v>
      </c>
      <c r="AB167" s="309">
        <f t="shared" si="222"/>
        <v>242.09</v>
      </c>
      <c r="AC167" s="309">
        <f t="shared" si="223"/>
        <v>290.05</v>
      </c>
      <c r="AD167" s="309">
        <f t="shared" si="224"/>
        <v>72.51</v>
      </c>
      <c r="AE167" s="309">
        <f t="shared" si="225"/>
        <v>18.13</v>
      </c>
      <c r="AF167" s="309">
        <f t="shared" si="226"/>
        <v>380.69</v>
      </c>
      <c r="AG167" s="309">
        <f t="shared" si="227"/>
        <v>138.6</v>
      </c>
      <c r="AH167" s="309"/>
      <c r="AI167" s="322" t="s">
        <v>179</v>
      </c>
    </row>
    <row r="168" spans="1:35" ht="12.75">
      <c r="A168" s="269">
        <v>75</v>
      </c>
      <c r="B168" s="269"/>
      <c r="C168" s="269" t="s">
        <v>243</v>
      </c>
      <c r="D168" s="269" t="s">
        <v>220</v>
      </c>
      <c r="E168" s="333">
        <v>1800</v>
      </c>
      <c r="F168" s="346"/>
      <c r="G168" s="334"/>
      <c r="H168" s="327">
        <v>80</v>
      </c>
      <c r="I168" s="327">
        <v>264</v>
      </c>
      <c r="J168" s="327">
        <v>300</v>
      </c>
      <c r="K168" s="296">
        <f t="shared" si="228"/>
        <v>2444</v>
      </c>
      <c r="L168" s="337">
        <v>2305.6666666666665</v>
      </c>
      <c r="M168" s="296">
        <f t="shared" si="229"/>
        <v>745.71</v>
      </c>
      <c r="N168" s="296">
        <f t="shared" si="230"/>
        <v>404.69</v>
      </c>
      <c r="O168" s="296">
        <f t="shared" si="231"/>
        <v>23.81</v>
      </c>
      <c r="P168" s="296">
        <f t="shared" si="232"/>
        <v>13.33</v>
      </c>
      <c r="Q168" s="357"/>
      <c r="R168" s="296"/>
      <c r="S168" s="296">
        <f t="shared" si="233"/>
        <v>616.5600000000001</v>
      </c>
      <c r="T168" s="296">
        <f t="shared" si="234"/>
        <v>462.41999999999996</v>
      </c>
      <c r="U168" s="339"/>
      <c r="V168" s="296">
        <f t="shared" si="235"/>
        <v>3631.5399999999995</v>
      </c>
      <c r="W168" s="339">
        <v>3000</v>
      </c>
      <c r="X168" s="296">
        <f t="shared" si="236"/>
        <v>46157.45999999999</v>
      </c>
      <c r="Y168" s="309">
        <f t="shared" si="219"/>
        <v>184.45</v>
      </c>
      <c r="Z168" s="309">
        <f t="shared" si="220"/>
        <v>46.11</v>
      </c>
      <c r="AA168" s="309">
        <f t="shared" si="221"/>
        <v>11.53</v>
      </c>
      <c r="AB168" s="309">
        <f t="shared" si="222"/>
        <v>242.09</v>
      </c>
      <c r="AC168" s="309">
        <f t="shared" si="223"/>
        <v>290.05</v>
      </c>
      <c r="AD168" s="309">
        <f t="shared" si="224"/>
        <v>72.51</v>
      </c>
      <c r="AE168" s="309">
        <f t="shared" si="225"/>
        <v>18.13</v>
      </c>
      <c r="AF168" s="309">
        <f t="shared" si="226"/>
        <v>380.69</v>
      </c>
      <c r="AG168" s="309">
        <f t="shared" si="227"/>
        <v>138.6</v>
      </c>
      <c r="AH168" s="309"/>
      <c r="AI168" s="322" t="s">
        <v>179</v>
      </c>
    </row>
    <row r="169" spans="1:35" ht="12.75">
      <c r="A169" s="269">
        <v>76</v>
      </c>
      <c r="B169" s="269"/>
      <c r="C169" s="269" t="s">
        <v>244</v>
      </c>
      <c r="D169" s="269" t="s">
        <v>191</v>
      </c>
      <c r="E169" s="333">
        <v>3540</v>
      </c>
      <c r="F169" s="347">
        <v>30</v>
      </c>
      <c r="G169" s="334"/>
      <c r="H169" s="327">
        <v>120</v>
      </c>
      <c r="I169" s="327">
        <v>264</v>
      </c>
      <c r="J169" s="327">
        <v>300</v>
      </c>
      <c r="K169" s="296">
        <f t="shared" si="228"/>
        <v>4254</v>
      </c>
      <c r="L169" s="337">
        <v>4254</v>
      </c>
      <c r="M169" s="296">
        <f t="shared" si="229"/>
        <v>745.71</v>
      </c>
      <c r="N169" s="296">
        <f t="shared" si="230"/>
        <v>404.69</v>
      </c>
      <c r="O169" s="296">
        <f t="shared" si="231"/>
        <v>23.81</v>
      </c>
      <c r="P169" s="296">
        <f t="shared" si="232"/>
        <v>13.33</v>
      </c>
      <c r="Q169" s="357"/>
      <c r="R169" s="296">
        <f>CEILING(L169*12%,1)</f>
        <v>511</v>
      </c>
      <c r="S169" s="296">
        <f t="shared" si="233"/>
        <v>1526.96</v>
      </c>
      <c r="T169" s="296">
        <f t="shared" si="234"/>
        <v>1145.22</v>
      </c>
      <c r="U169" s="339">
        <v>900</v>
      </c>
      <c r="V169" s="296">
        <f t="shared" si="235"/>
        <v>6852.539999999999</v>
      </c>
      <c r="W169" s="339">
        <v>16000</v>
      </c>
      <c r="X169" s="296">
        <f t="shared" si="236"/>
        <v>99402.65999999999</v>
      </c>
      <c r="Y169" s="309">
        <f t="shared" si="219"/>
        <v>340.32</v>
      </c>
      <c r="Z169" s="309">
        <f t="shared" si="220"/>
        <v>85.08</v>
      </c>
      <c r="AA169" s="309">
        <f t="shared" si="221"/>
        <v>21.27</v>
      </c>
      <c r="AB169" s="309">
        <f t="shared" si="222"/>
        <v>446.66999999999996</v>
      </c>
      <c r="AC169" s="309">
        <f t="shared" si="223"/>
        <v>340.32</v>
      </c>
      <c r="AD169" s="309">
        <f t="shared" si="224"/>
        <v>85.08</v>
      </c>
      <c r="AE169" s="309">
        <f t="shared" si="225"/>
        <v>21.27</v>
      </c>
      <c r="AF169" s="309">
        <f t="shared" si="226"/>
        <v>446.66999999999996</v>
      </c>
      <c r="AG169" s="309">
        <f t="shared" si="227"/>
        <v>0</v>
      </c>
      <c r="AH169" s="309"/>
      <c r="AI169" s="322" t="s">
        <v>54</v>
      </c>
    </row>
    <row r="170" spans="1:35" ht="12.75">
      <c r="A170" s="269">
        <v>77</v>
      </c>
      <c r="B170" s="269"/>
      <c r="C170" s="269" t="s">
        <v>245</v>
      </c>
      <c r="D170" s="269" t="s">
        <v>54</v>
      </c>
      <c r="E170" s="333">
        <v>3000</v>
      </c>
      <c r="F170" s="327">
        <v>80</v>
      </c>
      <c r="G170" s="334"/>
      <c r="H170" s="327">
        <v>100</v>
      </c>
      <c r="I170" s="327">
        <v>264</v>
      </c>
      <c r="J170" s="327">
        <v>300</v>
      </c>
      <c r="K170" s="296">
        <f t="shared" si="228"/>
        <v>3744</v>
      </c>
      <c r="L170" s="337">
        <v>4392.333333333333</v>
      </c>
      <c r="M170" s="296">
        <f t="shared" si="229"/>
        <v>745.71</v>
      </c>
      <c r="N170" s="296">
        <f t="shared" si="230"/>
        <v>404.69</v>
      </c>
      <c r="O170" s="296">
        <f t="shared" si="231"/>
        <v>23.81</v>
      </c>
      <c r="P170" s="296">
        <f t="shared" si="232"/>
        <v>13.33</v>
      </c>
      <c r="Q170" s="357"/>
      <c r="R170" s="296">
        <f>CEILING(L170*12%,1)</f>
        <v>528</v>
      </c>
      <c r="S170" s="296">
        <f t="shared" si="233"/>
        <v>1340.56</v>
      </c>
      <c r="T170" s="296">
        <f t="shared" si="234"/>
        <v>1005.42</v>
      </c>
      <c r="U170" s="339">
        <v>800</v>
      </c>
      <c r="V170" s="296">
        <f t="shared" si="235"/>
        <v>6259.54</v>
      </c>
      <c r="W170" s="339">
        <v>14000</v>
      </c>
      <c r="X170" s="296">
        <f t="shared" si="236"/>
        <v>89960.45999999999</v>
      </c>
      <c r="Y170" s="309">
        <f t="shared" si="219"/>
        <v>351.39</v>
      </c>
      <c r="Z170" s="309">
        <f t="shared" si="220"/>
        <v>87.85</v>
      </c>
      <c r="AA170" s="309">
        <f t="shared" si="221"/>
        <v>21.96</v>
      </c>
      <c r="AB170" s="309">
        <f t="shared" si="222"/>
        <v>461.2</v>
      </c>
      <c r="AC170" s="309">
        <f t="shared" si="223"/>
        <v>351.39</v>
      </c>
      <c r="AD170" s="309">
        <f t="shared" si="224"/>
        <v>87.85</v>
      </c>
      <c r="AE170" s="309">
        <f t="shared" si="225"/>
        <v>21.96</v>
      </c>
      <c r="AF170" s="309">
        <f t="shared" si="226"/>
        <v>461.2</v>
      </c>
      <c r="AG170" s="309">
        <f t="shared" si="227"/>
        <v>0</v>
      </c>
      <c r="AH170" s="309"/>
      <c r="AI170" s="322" t="s">
        <v>54</v>
      </c>
    </row>
    <row r="171" spans="1:36" ht="12.75">
      <c r="A171" s="269">
        <v>78</v>
      </c>
      <c r="B171" s="269"/>
      <c r="C171" s="269" t="s">
        <v>246</v>
      </c>
      <c r="D171" s="269" t="s">
        <v>247</v>
      </c>
      <c r="E171" s="333">
        <v>4200</v>
      </c>
      <c r="F171" s="348"/>
      <c r="G171" s="334"/>
      <c r="H171" s="327">
        <v>80</v>
      </c>
      <c r="I171" s="327">
        <v>264</v>
      </c>
      <c r="J171" s="327"/>
      <c r="K171" s="296">
        <f t="shared" si="228"/>
        <v>4544</v>
      </c>
      <c r="L171" s="337">
        <v>4029</v>
      </c>
      <c r="M171" s="296">
        <f t="shared" si="229"/>
        <v>745.71</v>
      </c>
      <c r="N171" s="296">
        <f t="shared" si="230"/>
        <v>404.69</v>
      </c>
      <c r="O171" s="296">
        <f t="shared" si="231"/>
        <v>23.81</v>
      </c>
      <c r="P171" s="296">
        <f t="shared" si="232"/>
        <v>13.33</v>
      </c>
      <c r="Q171" s="357"/>
      <c r="R171" s="296">
        <f>CEILING(L171*7%,1)</f>
        <v>283</v>
      </c>
      <c r="S171" s="296">
        <f>((SUM(E171:I171)+U171)*2+J171*7+W171)*2%</f>
        <v>191.76</v>
      </c>
      <c r="T171" s="296">
        <f>((SUM(E171:I171)+U171)*2+J171*7+W171)*1.5%</f>
        <v>143.82</v>
      </c>
      <c r="U171" s="339"/>
      <c r="V171" s="296">
        <f t="shared" si="235"/>
        <v>6014.539999999999</v>
      </c>
      <c r="W171" s="339">
        <v>500</v>
      </c>
      <c r="X171" s="296">
        <f>V171*2+W171+S171+T171-J171*5</f>
        <v>12864.659999999998</v>
      </c>
      <c r="Y171" s="309">
        <f t="shared" si="219"/>
        <v>322.32</v>
      </c>
      <c r="Z171" s="309">
        <f t="shared" si="220"/>
        <v>80.58</v>
      </c>
      <c r="AA171" s="309">
        <f t="shared" si="221"/>
        <v>20.15</v>
      </c>
      <c r="AB171" s="309">
        <f t="shared" si="222"/>
        <v>423.04999999999995</v>
      </c>
      <c r="AC171" s="309">
        <f t="shared" si="223"/>
        <v>322.32</v>
      </c>
      <c r="AD171" s="309">
        <f t="shared" si="224"/>
        <v>80.58</v>
      </c>
      <c r="AE171" s="309">
        <f t="shared" si="225"/>
        <v>20.15</v>
      </c>
      <c r="AF171" s="309">
        <f t="shared" si="226"/>
        <v>423.04999999999995</v>
      </c>
      <c r="AG171" s="309">
        <f t="shared" si="227"/>
        <v>0</v>
      </c>
      <c r="AH171" s="309"/>
      <c r="AI171" s="322" t="s">
        <v>248</v>
      </c>
      <c r="AJ171" s="344" t="s">
        <v>249</v>
      </c>
    </row>
    <row r="172" spans="1:36" ht="12.75">
      <c r="A172" s="269">
        <v>79</v>
      </c>
      <c r="B172" s="269"/>
      <c r="C172" s="269" t="s">
        <v>250</v>
      </c>
      <c r="D172" s="269" t="s">
        <v>251</v>
      </c>
      <c r="E172" s="333">
        <v>3000</v>
      </c>
      <c r="F172" s="348"/>
      <c r="G172" s="334"/>
      <c r="H172" s="327">
        <v>80</v>
      </c>
      <c r="I172" s="327">
        <v>264</v>
      </c>
      <c r="J172" s="327"/>
      <c r="K172" s="296">
        <f t="shared" si="228"/>
        <v>3344</v>
      </c>
      <c r="L172" s="337">
        <v>3029</v>
      </c>
      <c r="M172" s="296">
        <f t="shared" si="229"/>
        <v>745.71</v>
      </c>
      <c r="N172" s="296">
        <f t="shared" si="230"/>
        <v>404.69</v>
      </c>
      <c r="O172" s="296">
        <f t="shared" si="231"/>
        <v>23.81</v>
      </c>
      <c r="P172" s="296">
        <f t="shared" si="232"/>
        <v>13.33</v>
      </c>
      <c r="Q172" s="357"/>
      <c r="R172" s="296">
        <f>CEILING(L172*7%,1)</f>
        <v>213</v>
      </c>
      <c r="S172" s="296">
        <f>((SUM(E172:I172)+U172)*2+J172*7+W172)*2%</f>
        <v>143.76</v>
      </c>
      <c r="T172" s="296">
        <f>((SUM(E172:I172)+U172)*2+J172*7+W172)*1.5%</f>
        <v>107.82</v>
      </c>
      <c r="U172" s="339"/>
      <c r="V172" s="296">
        <f t="shared" si="235"/>
        <v>4744.54</v>
      </c>
      <c r="W172" s="339">
        <v>500</v>
      </c>
      <c r="X172" s="296">
        <f>V172*2+W172+S172+T172-J172*5</f>
        <v>10240.66</v>
      </c>
      <c r="Y172" s="309">
        <f t="shared" si="219"/>
        <v>242.32</v>
      </c>
      <c r="Z172" s="309">
        <f t="shared" si="220"/>
        <v>60.58</v>
      </c>
      <c r="AA172" s="309">
        <f t="shared" si="221"/>
        <v>15.15</v>
      </c>
      <c r="AB172" s="309">
        <f t="shared" si="222"/>
        <v>318.04999999999995</v>
      </c>
      <c r="AC172" s="309">
        <f t="shared" si="223"/>
        <v>290.05</v>
      </c>
      <c r="AD172" s="309">
        <f t="shared" si="224"/>
        <v>72.51</v>
      </c>
      <c r="AE172" s="309">
        <f t="shared" si="225"/>
        <v>18.13</v>
      </c>
      <c r="AF172" s="309">
        <f t="shared" si="226"/>
        <v>380.69</v>
      </c>
      <c r="AG172" s="309">
        <f t="shared" si="227"/>
        <v>62.64000000000004</v>
      </c>
      <c r="AH172" s="309"/>
      <c r="AI172" s="322" t="s">
        <v>248</v>
      </c>
      <c r="AJ172" s="344" t="s">
        <v>249</v>
      </c>
    </row>
    <row r="173" spans="1:36" ht="12.75">
      <c r="A173" s="269">
        <v>80</v>
      </c>
      <c r="B173" s="269"/>
      <c r="C173" s="269" t="s">
        <v>252</v>
      </c>
      <c r="D173" s="269" t="s">
        <v>220</v>
      </c>
      <c r="E173" s="333">
        <v>1800</v>
      </c>
      <c r="F173" s="348"/>
      <c r="G173" s="334"/>
      <c r="H173" s="327">
        <v>80</v>
      </c>
      <c r="I173" s="327">
        <v>264</v>
      </c>
      <c r="J173" s="327"/>
      <c r="K173" s="296">
        <f t="shared" si="228"/>
        <v>2144</v>
      </c>
      <c r="L173" s="337">
        <v>2079</v>
      </c>
      <c r="M173" s="296">
        <f t="shared" si="229"/>
        <v>745.71</v>
      </c>
      <c r="N173" s="296">
        <f t="shared" si="230"/>
        <v>404.69</v>
      </c>
      <c r="O173" s="296">
        <f t="shared" si="231"/>
        <v>23.81</v>
      </c>
      <c r="P173" s="296">
        <f t="shared" si="232"/>
        <v>13.33</v>
      </c>
      <c r="Q173" s="357"/>
      <c r="R173" s="296"/>
      <c r="S173" s="296">
        <f>((SUM(E173:I173)+U173)*2+J173*7+W173)*2%</f>
        <v>95.76</v>
      </c>
      <c r="T173" s="296">
        <f>((SUM(E173:I173)+U173)*2+J173*7+W173)*1.5%</f>
        <v>71.82</v>
      </c>
      <c r="U173" s="339"/>
      <c r="V173" s="296">
        <f t="shared" si="235"/>
        <v>3331.54</v>
      </c>
      <c r="W173" s="339">
        <v>500</v>
      </c>
      <c r="X173" s="296">
        <f>V173*2+W173+S173+T173-J173*5</f>
        <v>7330.66</v>
      </c>
      <c r="Y173" s="309">
        <f t="shared" si="219"/>
        <v>166.32</v>
      </c>
      <c r="Z173" s="309">
        <f t="shared" si="220"/>
        <v>41.58</v>
      </c>
      <c r="AA173" s="309">
        <f t="shared" si="221"/>
        <v>10.4</v>
      </c>
      <c r="AB173" s="309">
        <f t="shared" si="222"/>
        <v>218.29999999999998</v>
      </c>
      <c r="AC173" s="309">
        <f t="shared" si="223"/>
        <v>290.05</v>
      </c>
      <c r="AD173" s="309">
        <f t="shared" si="224"/>
        <v>72.51</v>
      </c>
      <c r="AE173" s="309">
        <f t="shared" si="225"/>
        <v>18.13</v>
      </c>
      <c r="AF173" s="309">
        <f t="shared" si="226"/>
        <v>380.69</v>
      </c>
      <c r="AG173" s="309">
        <f t="shared" si="227"/>
        <v>162.39000000000001</v>
      </c>
      <c r="AH173" s="309"/>
      <c r="AI173" s="322" t="s">
        <v>248</v>
      </c>
      <c r="AJ173" s="344" t="s">
        <v>249</v>
      </c>
    </row>
    <row r="174" spans="1:36" ht="12.75">
      <c r="A174" s="269">
        <v>81</v>
      </c>
      <c r="B174" s="269"/>
      <c r="C174" s="269" t="s">
        <v>253</v>
      </c>
      <c r="D174" s="269" t="s">
        <v>220</v>
      </c>
      <c r="E174" s="333">
        <v>1800</v>
      </c>
      <c r="F174" s="348"/>
      <c r="G174" s="334"/>
      <c r="H174" s="327">
        <v>80</v>
      </c>
      <c r="I174" s="327">
        <v>264</v>
      </c>
      <c r="J174" s="327"/>
      <c r="K174" s="296">
        <f t="shared" si="228"/>
        <v>2144</v>
      </c>
      <c r="L174" s="337">
        <v>2079</v>
      </c>
      <c r="M174" s="296">
        <f t="shared" si="229"/>
        <v>745.71</v>
      </c>
      <c r="N174" s="296">
        <f t="shared" si="230"/>
        <v>404.69</v>
      </c>
      <c r="O174" s="296">
        <f t="shared" si="231"/>
        <v>23.81</v>
      </c>
      <c r="P174" s="296">
        <f t="shared" si="232"/>
        <v>13.33</v>
      </c>
      <c r="Q174" s="357"/>
      <c r="R174" s="296"/>
      <c r="S174" s="296">
        <f>((SUM(E174:I174)+U174)*2+J174*7+W174)*2%</f>
        <v>95.76</v>
      </c>
      <c r="T174" s="296">
        <f>((SUM(E174:I174)+U174)*2+J174*7+W174)*1.5%</f>
        <v>71.82</v>
      </c>
      <c r="U174" s="339"/>
      <c r="V174" s="296">
        <f t="shared" si="235"/>
        <v>3331.54</v>
      </c>
      <c r="W174" s="339">
        <v>500</v>
      </c>
      <c r="X174" s="296">
        <f>V174*2+W174+S174+T174-J174*5</f>
        <v>7330.66</v>
      </c>
      <c r="Y174" s="309">
        <f t="shared" si="219"/>
        <v>166.32</v>
      </c>
      <c r="Z174" s="309">
        <f t="shared" si="220"/>
        <v>41.58</v>
      </c>
      <c r="AA174" s="309">
        <f t="shared" si="221"/>
        <v>10.4</v>
      </c>
      <c r="AB174" s="309">
        <f t="shared" si="222"/>
        <v>218.29999999999998</v>
      </c>
      <c r="AC174" s="309">
        <f t="shared" si="223"/>
        <v>290.05</v>
      </c>
      <c r="AD174" s="309">
        <f t="shared" si="224"/>
        <v>72.51</v>
      </c>
      <c r="AE174" s="309">
        <f t="shared" si="225"/>
        <v>18.13</v>
      </c>
      <c r="AF174" s="309">
        <f t="shared" si="226"/>
        <v>380.69</v>
      </c>
      <c r="AG174" s="309">
        <f t="shared" si="227"/>
        <v>162.39000000000001</v>
      </c>
      <c r="AH174" s="309"/>
      <c r="AI174" s="322" t="s">
        <v>248</v>
      </c>
      <c r="AJ174" s="344" t="s">
        <v>249</v>
      </c>
    </row>
    <row r="175" spans="1:36" ht="12.75">
      <c r="A175" s="269">
        <v>82</v>
      </c>
      <c r="B175" s="269"/>
      <c r="C175" s="269" t="s">
        <v>254</v>
      </c>
      <c r="D175" s="269" t="s">
        <v>220</v>
      </c>
      <c r="E175" s="333">
        <v>1800</v>
      </c>
      <c r="F175" s="348"/>
      <c r="G175" s="334"/>
      <c r="H175" s="327">
        <v>80</v>
      </c>
      <c r="I175" s="327">
        <v>264</v>
      </c>
      <c r="J175" s="327"/>
      <c r="K175" s="296">
        <f t="shared" si="228"/>
        <v>2144</v>
      </c>
      <c r="L175" s="337">
        <v>2079</v>
      </c>
      <c r="M175" s="296">
        <f t="shared" si="229"/>
        <v>745.71</v>
      </c>
      <c r="N175" s="296">
        <f t="shared" si="230"/>
        <v>404.69</v>
      </c>
      <c r="O175" s="296">
        <f t="shared" si="231"/>
        <v>23.81</v>
      </c>
      <c r="P175" s="296">
        <f t="shared" si="232"/>
        <v>13.33</v>
      </c>
      <c r="Q175" s="357"/>
      <c r="R175" s="296"/>
      <c r="S175" s="296">
        <f>((SUM(E175:I175)+U175)*2+J175*7+W175)*2%</f>
        <v>95.76</v>
      </c>
      <c r="T175" s="296">
        <f>((SUM(E175:I175)+U175)*2+J175*7+W175)*1.5%</f>
        <v>71.82</v>
      </c>
      <c r="U175" s="339"/>
      <c r="V175" s="296">
        <f t="shared" si="235"/>
        <v>3331.54</v>
      </c>
      <c r="W175" s="339">
        <v>500</v>
      </c>
      <c r="X175" s="296">
        <f>V175*2+W175+S175+T175-J175*5</f>
        <v>7330.66</v>
      </c>
      <c r="Y175" s="309"/>
      <c r="Z175" s="309"/>
      <c r="AA175" s="309"/>
      <c r="AB175" s="309"/>
      <c r="AC175" s="309"/>
      <c r="AD175" s="309"/>
      <c r="AE175" s="309"/>
      <c r="AF175" s="309"/>
      <c r="AG175" s="309">
        <f>SUM(AG94:AG174)</f>
        <v>5088.700000000001</v>
      </c>
      <c r="AH175" s="309"/>
      <c r="AI175" s="322" t="s">
        <v>248</v>
      </c>
      <c r="AJ175" s="344" t="s">
        <v>249</v>
      </c>
    </row>
    <row r="176" spans="1:35" ht="12.75">
      <c r="A176" s="269">
        <v>83</v>
      </c>
      <c r="B176" s="269"/>
      <c r="C176" s="269" t="s">
        <v>255</v>
      </c>
      <c r="D176" s="269" t="s">
        <v>220</v>
      </c>
      <c r="E176" s="333">
        <v>1800</v>
      </c>
      <c r="F176" s="348"/>
      <c r="G176" s="334"/>
      <c r="H176" s="327">
        <v>80</v>
      </c>
      <c r="I176" s="327">
        <v>264</v>
      </c>
      <c r="J176" s="327">
        <v>300</v>
      </c>
      <c r="K176" s="296">
        <f t="shared" si="228"/>
        <v>2444</v>
      </c>
      <c r="L176" s="337">
        <v>1937.3333333333333</v>
      </c>
      <c r="M176" s="296">
        <f t="shared" si="229"/>
        <v>745.71</v>
      </c>
      <c r="N176" s="296">
        <f t="shared" si="230"/>
        <v>404.69</v>
      </c>
      <c r="O176" s="296">
        <f t="shared" si="231"/>
        <v>23.81</v>
      </c>
      <c r="P176" s="296">
        <f t="shared" si="232"/>
        <v>13.33</v>
      </c>
      <c r="Q176" s="357"/>
      <c r="R176" s="296"/>
      <c r="S176" s="296">
        <f t="shared" si="233"/>
        <v>616.5600000000001</v>
      </c>
      <c r="T176" s="296">
        <f t="shared" si="234"/>
        <v>462.41999999999996</v>
      </c>
      <c r="U176" s="339"/>
      <c r="V176" s="296">
        <f t="shared" si="235"/>
        <v>3631.54</v>
      </c>
      <c r="W176" s="339">
        <v>3000</v>
      </c>
      <c r="X176" s="296">
        <f t="shared" si="236"/>
        <v>46157.45999999999</v>
      </c>
      <c r="Y176" s="309"/>
      <c r="Z176" s="309"/>
      <c r="AA176" s="309"/>
      <c r="AB176" s="309"/>
      <c r="AC176" s="309"/>
      <c r="AD176" s="309"/>
      <c r="AE176" s="309"/>
      <c r="AF176" s="309"/>
      <c r="AG176" s="309"/>
      <c r="AH176" s="309"/>
      <c r="AI176" s="322" t="s">
        <v>179</v>
      </c>
    </row>
    <row r="177" spans="1:35" ht="12.75">
      <c r="A177" s="269">
        <v>84</v>
      </c>
      <c r="B177" s="269"/>
      <c r="C177" s="269"/>
      <c r="D177" s="269"/>
      <c r="E177" s="333"/>
      <c r="F177" s="348"/>
      <c r="G177" s="334"/>
      <c r="H177" s="327"/>
      <c r="I177" s="327"/>
      <c r="J177" s="327"/>
      <c r="K177" s="296">
        <f t="shared" si="228"/>
        <v>0</v>
      </c>
      <c r="L177" s="337"/>
      <c r="M177" s="296"/>
      <c r="N177" s="296"/>
      <c r="O177" s="296"/>
      <c r="P177" s="296"/>
      <c r="Q177" s="357"/>
      <c r="R177" s="296">
        <f>CEILING(L177*7%,1)</f>
        <v>0</v>
      </c>
      <c r="S177" s="296">
        <f t="shared" si="233"/>
        <v>0</v>
      </c>
      <c r="T177" s="296">
        <f t="shared" si="234"/>
        <v>0</v>
      </c>
      <c r="U177" s="339"/>
      <c r="V177" s="296">
        <f t="shared" si="235"/>
        <v>0</v>
      </c>
      <c r="W177" s="339"/>
      <c r="X177" s="296">
        <f t="shared" si="236"/>
        <v>0</v>
      </c>
      <c r="Y177" s="309"/>
      <c r="Z177" s="309"/>
      <c r="AA177" s="309"/>
      <c r="AB177" s="309"/>
      <c r="AC177" s="309"/>
      <c r="AD177" s="309"/>
      <c r="AE177" s="309"/>
      <c r="AF177" s="309"/>
      <c r="AG177" s="309"/>
      <c r="AH177" s="309"/>
      <c r="AI177" s="322"/>
    </row>
    <row r="178" spans="1:35" ht="12.75">
      <c r="A178" s="269">
        <v>85</v>
      </c>
      <c r="B178" s="269"/>
      <c r="C178" s="269"/>
      <c r="D178" s="269"/>
      <c r="E178" s="333"/>
      <c r="F178" s="348"/>
      <c r="G178" s="334"/>
      <c r="H178" s="327"/>
      <c r="I178" s="327"/>
      <c r="J178" s="327"/>
      <c r="K178" s="296">
        <f t="shared" si="228"/>
        <v>0</v>
      </c>
      <c r="L178" s="337"/>
      <c r="M178" s="296"/>
      <c r="N178" s="296"/>
      <c r="O178" s="296"/>
      <c r="P178" s="296"/>
      <c r="Q178" s="357"/>
      <c r="R178" s="296">
        <f>CEILING(L178*7%,1)</f>
        <v>0</v>
      </c>
      <c r="S178" s="296">
        <f t="shared" si="233"/>
        <v>0</v>
      </c>
      <c r="T178" s="296">
        <f t="shared" si="234"/>
        <v>0</v>
      </c>
      <c r="U178" s="339"/>
      <c r="V178" s="296">
        <f t="shared" si="235"/>
        <v>0</v>
      </c>
      <c r="W178" s="339"/>
      <c r="X178" s="296">
        <f t="shared" si="236"/>
        <v>0</v>
      </c>
      <c r="Y178" s="309"/>
      <c r="Z178" s="309"/>
      <c r="AA178" s="309"/>
      <c r="AB178" s="309"/>
      <c r="AC178" s="309"/>
      <c r="AD178" s="309"/>
      <c r="AE178" s="309"/>
      <c r="AF178" s="309"/>
      <c r="AG178" s="309"/>
      <c r="AH178" s="309"/>
      <c r="AI178" s="322"/>
    </row>
    <row r="179" spans="1:35" ht="12.75">
      <c r="A179" s="269">
        <v>86</v>
      </c>
      <c r="B179" s="269"/>
      <c r="C179" s="269"/>
      <c r="D179" s="269"/>
      <c r="E179" s="333"/>
      <c r="F179" s="348"/>
      <c r="G179" s="334"/>
      <c r="H179" s="327"/>
      <c r="I179" s="327"/>
      <c r="J179" s="327"/>
      <c r="K179" s="296">
        <f t="shared" si="228"/>
        <v>0</v>
      </c>
      <c r="L179" s="337"/>
      <c r="M179" s="296"/>
      <c r="N179" s="296"/>
      <c r="O179" s="296"/>
      <c r="P179" s="296"/>
      <c r="Q179" s="357"/>
      <c r="R179" s="296">
        <f>CEILING(L179*7%,1)</f>
        <v>0</v>
      </c>
      <c r="S179" s="296">
        <f t="shared" si="233"/>
        <v>0</v>
      </c>
      <c r="T179" s="296">
        <f t="shared" si="234"/>
        <v>0</v>
      </c>
      <c r="U179" s="339"/>
      <c r="V179" s="296">
        <f t="shared" si="235"/>
        <v>0</v>
      </c>
      <c r="W179" s="339"/>
      <c r="X179" s="296">
        <f t="shared" si="236"/>
        <v>0</v>
      </c>
      <c r="Y179" s="309"/>
      <c r="Z179" s="309"/>
      <c r="AA179" s="309"/>
      <c r="AB179" s="309"/>
      <c r="AC179" s="309"/>
      <c r="AD179" s="309"/>
      <c r="AE179" s="309"/>
      <c r="AF179" s="309"/>
      <c r="AG179" s="309"/>
      <c r="AH179" s="309"/>
      <c r="AI179" s="322"/>
    </row>
    <row r="180" spans="1:35" ht="12.75">
      <c r="A180" s="269">
        <v>87</v>
      </c>
      <c r="B180" s="269"/>
      <c r="C180" s="269"/>
      <c r="D180" s="269"/>
      <c r="E180" s="333"/>
      <c r="F180" s="348"/>
      <c r="G180" s="334"/>
      <c r="H180" s="327"/>
      <c r="I180" s="327"/>
      <c r="J180" s="327"/>
      <c r="K180" s="296">
        <f t="shared" si="228"/>
        <v>0</v>
      </c>
      <c r="L180" s="337"/>
      <c r="M180" s="296"/>
      <c r="N180" s="296"/>
      <c r="O180" s="296"/>
      <c r="P180" s="296"/>
      <c r="Q180" s="357"/>
      <c r="R180" s="296"/>
      <c r="S180" s="296">
        <f t="shared" si="233"/>
        <v>0</v>
      </c>
      <c r="T180" s="296">
        <f t="shared" si="234"/>
        <v>0</v>
      </c>
      <c r="U180" s="339"/>
      <c r="V180" s="296">
        <f t="shared" si="235"/>
        <v>0</v>
      </c>
      <c r="W180" s="339"/>
      <c r="X180" s="296">
        <f t="shared" si="236"/>
        <v>0</v>
      </c>
      <c r="Y180" s="309"/>
      <c r="Z180" s="309"/>
      <c r="AA180" s="309"/>
      <c r="AB180" s="309"/>
      <c r="AC180" s="309"/>
      <c r="AD180" s="309"/>
      <c r="AE180" s="309"/>
      <c r="AF180" s="309"/>
      <c r="AG180" s="309"/>
      <c r="AH180" s="309"/>
      <c r="AI180" s="322"/>
    </row>
    <row r="181" spans="1:35" ht="12.75">
      <c r="A181" s="269">
        <v>88</v>
      </c>
      <c r="B181" s="269"/>
      <c r="C181" s="269"/>
      <c r="D181" s="269"/>
      <c r="E181" s="333"/>
      <c r="F181" s="349"/>
      <c r="G181" s="334"/>
      <c r="H181" s="327"/>
      <c r="I181" s="327"/>
      <c r="J181" s="354"/>
      <c r="K181" s="296">
        <f t="shared" si="228"/>
        <v>0</v>
      </c>
      <c r="L181" s="337"/>
      <c r="M181" s="296"/>
      <c r="N181" s="296"/>
      <c r="O181" s="296"/>
      <c r="P181" s="296"/>
      <c r="Q181" s="357"/>
      <c r="R181" s="296"/>
      <c r="S181" s="296">
        <f t="shared" si="233"/>
        <v>0</v>
      </c>
      <c r="T181" s="296">
        <f t="shared" si="234"/>
        <v>0</v>
      </c>
      <c r="U181" s="339"/>
      <c r="V181" s="296">
        <f t="shared" si="235"/>
        <v>0</v>
      </c>
      <c r="W181" s="339"/>
      <c r="X181" s="296">
        <f t="shared" si="236"/>
        <v>0</v>
      </c>
      <c r="Y181" s="309"/>
      <c r="Z181" s="309">
        <f>U182*7</f>
        <v>217000</v>
      </c>
      <c r="AA181" s="309"/>
      <c r="AB181" s="309"/>
      <c r="AC181" s="309"/>
      <c r="AD181" s="309"/>
      <c r="AE181" s="309"/>
      <c r="AF181" s="309"/>
      <c r="AG181" s="309"/>
      <c r="AH181" s="309"/>
      <c r="AI181" s="322"/>
    </row>
    <row r="182" spans="1:35" s="262" customFormat="1" ht="13.5">
      <c r="A182" s="329"/>
      <c r="B182" s="329"/>
      <c r="C182" s="330" t="s">
        <v>256</v>
      </c>
      <c r="D182" s="331"/>
      <c r="E182" s="332">
        <f>SUM(E94:E181)</f>
        <v>212910</v>
      </c>
      <c r="F182" s="332">
        <f aca="true" t="shared" si="237" ref="F182:L182">SUM(F94:F181)</f>
        <v>6860</v>
      </c>
      <c r="G182" s="332">
        <f t="shared" si="237"/>
        <v>0</v>
      </c>
      <c r="H182" s="332">
        <f t="shared" si="237"/>
        <v>7530</v>
      </c>
      <c r="I182" s="332">
        <f t="shared" si="237"/>
        <v>21384</v>
      </c>
      <c r="J182" s="332">
        <f t="shared" si="237"/>
        <v>23400</v>
      </c>
      <c r="K182" s="296">
        <f t="shared" si="237"/>
        <v>271665.3333333334</v>
      </c>
      <c r="L182" s="336"/>
      <c r="M182" s="296">
        <f>SUM(M94:M181)</f>
        <v>63545.63999999994</v>
      </c>
      <c r="N182" s="296">
        <f aca="true" t="shared" si="238" ref="M182:P182">SUM(N94:N181)</f>
        <v>34381.459999999955</v>
      </c>
      <c r="O182" s="296">
        <f t="shared" si="238"/>
        <v>2022.7999999999968</v>
      </c>
      <c r="P182" s="296">
        <f t="shared" si="238"/>
        <v>1132.500000000001</v>
      </c>
      <c r="Q182" s="296"/>
      <c r="R182" s="296">
        <f aca="true" t="shared" si="239" ref="R182:X182">SUM(R94:R181)</f>
        <v>25147</v>
      </c>
      <c r="S182" s="296">
        <f t="shared" si="239"/>
        <v>84552.15999999993</v>
      </c>
      <c r="T182" s="296">
        <f t="shared" si="239"/>
        <v>63020.09999999994</v>
      </c>
      <c r="U182" s="295">
        <f t="shared" si="239"/>
        <v>31000</v>
      </c>
      <c r="V182" s="358">
        <f t="shared" si="239"/>
        <v>428713.3999999992</v>
      </c>
      <c r="W182" s="359">
        <f t="shared" si="239"/>
        <v>850800</v>
      </c>
      <c r="X182" s="358">
        <f t="shared" si="239"/>
        <v>5818396.059999997</v>
      </c>
      <c r="Y182" s="366"/>
      <c r="Z182" s="366"/>
      <c r="AA182" s="366"/>
      <c r="AB182" s="366"/>
      <c r="AC182" s="366"/>
      <c r="AD182" s="366"/>
      <c r="AE182" s="366"/>
      <c r="AF182" s="366"/>
      <c r="AG182" s="366"/>
      <c r="AH182" s="366"/>
      <c r="AI182" s="369"/>
    </row>
    <row r="183" spans="1:35" ht="14.25">
      <c r="A183" s="287" t="s">
        <v>257</v>
      </c>
      <c r="B183" s="350"/>
      <c r="C183" s="350"/>
      <c r="D183" s="291"/>
      <c r="E183" s="351">
        <f>E77+E93+E182</f>
        <v>494915</v>
      </c>
      <c r="F183" s="351">
        <f aca="true" t="shared" si="240" ref="F183:X183">F77+F93+F182</f>
        <v>15030</v>
      </c>
      <c r="G183" s="351">
        <f t="shared" si="240"/>
        <v>2935</v>
      </c>
      <c r="H183" s="351">
        <f t="shared" si="240"/>
        <v>17560</v>
      </c>
      <c r="I183" s="351">
        <f t="shared" si="240"/>
        <v>38544</v>
      </c>
      <c r="J183" s="351">
        <f t="shared" si="240"/>
        <v>42000</v>
      </c>
      <c r="K183" s="351">
        <f t="shared" si="240"/>
        <v>610565.3333333334</v>
      </c>
      <c r="L183" s="351">
        <f t="shared" si="240"/>
        <v>0</v>
      </c>
      <c r="M183" s="351">
        <f t="shared" si="240"/>
        <v>132833.19999999995</v>
      </c>
      <c r="N183" s="351">
        <f t="shared" si="240"/>
        <v>71292.95999999996</v>
      </c>
      <c r="O183" s="351">
        <f t="shared" si="240"/>
        <v>4194.219999999997</v>
      </c>
      <c r="P183" s="351">
        <f t="shared" si="240"/>
        <v>2348.3900000000012</v>
      </c>
      <c r="Q183" s="351">
        <f t="shared" si="240"/>
        <v>0</v>
      </c>
      <c r="R183" s="351">
        <f t="shared" si="240"/>
        <v>75823</v>
      </c>
      <c r="S183" s="351">
        <f t="shared" si="240"/>
        <v>230379.67599999992</v>
      </c>
      <c r="T183" s="351">
        <f t="shared" si="240"/>
        <v>172390.73699999994</v>
      </c>
      <c r="U183" s="351">
        <f t="shared" si="240"/>
        <v>117309.65</v>
      </c>
      <c r="V183" s="351">
        <f t="shared" si="240"/>
        <v>1014185.4199999992</v>
      </c>
      <c r="W183" s="351">
        <f t="shared" si="240"/>
        <v>3132660</v>
      </c>
      <c r="X183" s="351">
        <f t="shared" si="240"/>
        <v>15288118.452999996</v>
      </c>
      <c r="Y183" s="367"/>
      <c r="Z183" s="319"/>
      <c r="AA183" s="319"/>
      <c r="AB183" s="319"/>
      <c r="AC183" s="319"/>
      <c r="AD183" s="319"/>
      <c r="AE183" s="319"/>
      <c r="AF183" s="319" t="s">
        <v>258</v>
      </c>
      <c r="AG183" s="319" t="e">
        <f>#REF!*12</f>
        <v>#REF!</v>
      </c>
      <c r="AH183" s="319"/>
      <c r="AI183" s="321"/>
    </row>
    <row r="184" spans="1:35" ht="14.25">
      <c r="A184" s="352"/>
      <c r="B184" s="352"/>
      <c r="C184" s="352"/>
      <c r="D184" s="352"/>
      <c r="E184" s="353">
        <f>E183*12-SUM(E171:E175)*10</f>
        <v>5812980</v>
      </c>
      <c r="F184" s="353"/>
      <c r="G184" s="353"/>
      <c r="H184" s="353"/>
      <c r="I184" s="353"/>
      <c r="J184" s="353"/>
      <c r="K184" s="353"/>
      <c r="L184" s="353"/>
      <c r="M184" s="353"/>
      <c r="N184" s="353"/>
      <c r="O184" s="353"/>
      <c r="P184" s="353"/>
      <c r="Q184" s="353"/>
      <c r="R184" s="353"/>
      <c r="S184" s="353"/>
      <c r="T184" s="353"/>
      <c r="U184" s="353"/>
      <c r="V184" s="353"/>
      <c r="W184" s="353"/>
      <c r="X184" s="353"/>
      <c r="Y184" s="367"/>
      <c r="Z184" s="319"/>
      <c r="AA184" s="319"/>
      <c r="AB184" s="319"/>
      <c r="AC184" s="319"/>
      <c r="AD184" s="319"/>
      <c r="AE184" s="319"/>
      <c r="AF184" s="319"/>
      <c r="AG184" s="319"/>
      <c r="AH184" s="319"/>
      <c r="AI184" s="321"/>
    </row>
    <row r="185" spans="1:35" ht="14.25" hidden="1">
      <c r="A185" s="309"/>
      <c r="B185" s="309"/>
      <c r="C185" s="309"/>
      <c r="D185" s="309"/>
      <c r="E185" s="316" t="s">
        <v>6</v>
      </c>
      <c r="F185" s="316"/>
      <c r="G185" s="309" t="s">
        <v>259</v>
      </c>
      <c r="H185" s="309"/>
      <c r="I185" s="309"/>
      <c r="J185" s="309"/>
      <c r="K185" s="309"/>
      <c r="L185" s="309"/>
      <c r="M185" s="319"/>
      <c r="N185" s="319"/>
      <c r="O185" s="319"/>
      <c r="P185" s="319"/>
      <c r="Q185" s="319"/>
      <c r="R185" s="319"/>
      <c r="S185" s="319"/>
      <c r="T185" s="319"/>
      <c r="U185" s="360"/>
      <c r="V185" s="266"/>
      <c r="W185" s="319"/>
      <c r="X185" s="301"/>
      <c r="Y185" s="319"/>
      <c r="Z185" s="319">
        <f>K183*12</f>
        <v>7326784</v>
      </c>
      <c r="AA185" s="319"/>
      <c r="AB185" s="319"/>
      <c r="AC185" s="319"/>
      <c r="AD185" s="319"/>
      <c r="AE185" s="319"/>
      <c r="AF185" s="319"/>
      <c r="AG185" s="319"/>
      <c r="AH185" s="319"/>
      <c r="AI185" s="321"/>
    </row>
    <row r="186" spans="1:35" ht="12.75" hidden="1">
      <c r="A186" s="323"/>
      <c r="B186" s="323"/>
      <c r="C186" s="323"/>
      <c r="D186" s="323"/>
      <c r="E186" s="323"/>
      <c r="F186" s="323" t="s">
        <v>260</v>
      </c>
      <c r="G186" s="323"/>
      <c r="H186" s="323"/>
      <c r="I186" s="323"/>
      <c r="J186" s="323"/>
      <c r="K186" s="355" t="s">
        <v>261</v>
      </c>
      <c r="L186" s="355"/>
      <c r="M186" s="355"/>
      <c r="N186" s="356" t="e">
        <f>(K183+U183)*12+2100*#REF!</f>
        <v>#REF!</v>
      </c>
      <c r="O186" s="355" t="s">
        <v>262</v>
      </c>
      <c r="P186" s="355"/>
      <c r="Q186" s="361" t="e">
        <f>(K183-K9+U183-U9)*12+W183-W9+2100*#REF!</f>
        <v>#REF!</v>
      </c>
      <c r="R186" s="355"/>
      <c r="S186" s="355"/>
      <c r="T186" s="355"/>
      <c r="U186" s="362">
        <f>U185*0.02</f>
        <v>0</v>
      </c>
      <c r="V186" s="362">
        <f>S182+U186</f>
        <v>84552.15999999993</v>
      </c>
      <c r="W186" s="355"/>
      <c r="X186" s="363"/>
      <c r="Y186" s="355"/>
      <c r="Z186" s="355">
        <f>U183*12</f>
        <v>1407715.7999999998</v>
      </c>
      <c r="AA186" s="355"/>
      <c r="AB186" s="355"/>
      <c r="AC186" s="355"/>
      <c r="AD186" s="355"/>
      <c r="AE186" s="355"/>
      <c r="AF186" s="355"/>
      <c r="AG186" s="355"/>
      <c r="AH186" s="355"/>
      <c r="AI186" s="325"/>
    </row>
    <row r="187" spans="1:35" ht="14.25" hidden="1">
      <c r="A187" s="325"/>
      <c r="B187" s="325"/>
      <c r="C187" s="325"/>
      <c r="D187" s="325"/>
      <c r="E187" s="325"/>
      <c r="F187" s="325"/>
      <c r="G187" s="325"/>
      <c r="H187" s="325"/>
      <c r="I187" s="325">
        <f>K183/56</f>
        <v>10902.952380952382</v>
      </c>
      <c r="J187" s="325"/>
      <c r="K187" s="325"/>
      <c r="L187" s="325"/>
      <c r="M187" s="324"/>
      <c r="N187" s="324"/>
      <c r="O187" s="324"/>
      <c r="P187" s="324"/>
      <c r="Q187" s="324"/>
      <c r="R187" s="324"/>
      <c r="S187" s="324"/>
      <c r="T187" s="324"/>
      <c r="U187" s="324"/>
      <c r="V187" s="324"/>
      <c r="W187" s="324"/>
      <c r="X187" s="364"/>
      <c r="Y187" s="324"/>
      <c r="Z187" s="368">
        <f>W183+Z186+Z185</f>
        <v>11867159.8</v>
      </c>
      <c r="AA187" s="324"/>
      <c r="AB187" s="324"/>
      <c r="AC187" s="324"/>
      <c r="AD187" s="324"/>
      <c r="AE187" s="324"/>
      <c r="AF187" s="324"/>
      <c r="AG187" s="324">
        <v>8358258</v>
      </c>
      <c r="AH187" s="324"/>
      <c r="AI187" s="325"/>
    </row>
    <row r="188" spans="1:35" ht="14.25" hidden="1">
      <c r="A188" s="325"/>
      <c r="B188" s="325"/>
      <c r="C188" s="325"/>
      <c r="D188" s="325"/>
      <c r="E188" s="325"/>
      <c r="F188" s="325"/>
      <c r="G188" s="325"/>
      <c r="H188" s="325"/>
      <c r="I188" s="325"/>
      <c r="J188" s="325"/>
      <c r="K188" s="325"/>
      <c r="L188" s="325"/>
      <c r="M188" s="324"/>
      <c r="N188" s="324"/>
      <c r="O188" s="324"/>
      <c r="P188" s="324"/>
      <c r="Q188" s="324"/>
      <c r="R188" s="324"/>
      <c r="S188" s="324"/>
      <c r="T188" s="324"/>
      <c r="U188" s="324"/>
      <c r="V188" s="324"/>
      <c r="W188" s="324"/>
      <c r="X188" s="364"/>
      <c r="Y188" s="324"/>
      <c r="Z188" s="324"/>
      <c r="AA188" s="324"/>
      <c r="AB188" s="324"/>
      <c r="AC188" s="324"/>
      <c r="AD188" s="324"/>
      <c r="AE188" s="324"/>
      <c r="AF188" s="324"/>
      <c r="AG188" s="324"/>
      <c r="AH188" s="324"/>
      <c r="AI188" s="325"/>
    </row>
    <row r="189" spans="1:35" ht="14.25" hidden="1">
      <c r="A189" s="325"/>
      <c r="B189" s="325"/>
      <c r="C189" s="325"/>
      <c r="D189" s="325"/>
      <c r="E189" s="325"/>
      <c r="F189" s="325"/>
      <c r="G189" s="325"/>
      <c r="H189" s="325"/>
      <c r="I189" s="325"/>
      <c r="J189" s="325"/>
      <c r="K189" s="325"/>
      <c r="L189" s="325"/>
      <c r="M189" s="324"/>
      <c r="N189" s="324"/>
      <c r="O189" s="324"/>
      <c r="P189" s="324"/>
      <c r="Q189" s="324"/>
      <c r="R189" s="324"/>
      <c r="S189" s="324"/>
      <c r="T189" s="324"/>
      <c r="U189" s="365"/>
      <c r="V189" s="365" t="e">
        <f>#REF!+#REF!+#REF!</f>
        <v>#REF!</v>
      </c>
      <c r="W189" s="365"/>
      <c r="X189" s="364"/>
      <c r="Y189" s="324"/>
      <c r="Z189" s="324"/>
      <c r="AA189" s="324"/>
      <c r="AB189" s="324"/>
      <c r="AC189" s="324"/>
      <c r="AD189" s="324"/>
      <c r="AE189" s="324"/>
      <c r="AF189" s="324"/>
      <c r="AG189" s="324"/>
      <c r="AH189" s="324"/>
      <c r="AI189" s="325"/>
    </row>
    <row r="190" spans="1:35" ht="14.25" hidden="1">
      <c r="A190" s="325"/>
      <c r="B190" s="325"/>
      <c r="C190" s="325"/>
      <c r="D190" s="325"/>
      <c r="E190" s="325"/>
      <c r="F190" s="325"/>
      <c r="G190" s="325"/>
      <c r="H190" s="325"/>
      <c r="I190" s="325"/>
      <c r="J190" s="325"/>
      <c r="K190" s="325"/>
      <c r="L190" s="325"/>
      <c r="M190" s="324"/>
      <c r="N190" s="324"/>
      <c r="O190" s="324"/>
      <c r="P190" s="324"/>
      <c r="Q190" s="324"/>
      <c r="R190" s="324"/>
      <c r="S190" s="324"/>
      <c r="T190" s="324"/>
      <c r="U190" s="324"/>
      <c r="V190" s="324" t="e">
        <f>V189*12</f>
        <v>#REF!</v>
      </c>
      <c r="W190" s="324"/>
      <c r="X190" s="364"/>
      <c r="Y190" s="324"/>
      <c r="Z190" s="324"/>
      <c r="AA190" s="324"/>
      <c r="AB190" s="324"/>
      <c r="AC190" s="324"/>
      <c r="AD190" s="324"/>
      <c r="AE190" s="324"/>
      <c r="AF190" s="324"/>
      <c r="AG190" s="324"/>
      <c r="AH190" s="324"/>
      <c r="AI190" s="325"/>
    </row>
    <row r="191" spans="1:35" ht="14.25" hidden="1">
      <c r="A191" s="325"/>
      <c r="B191" s="325"/>
      <c r="C191" s="325"/>
      <c r="D191" s="325"/>
      <c r="E191" s="325"/>
      <c r="F191" s="325"/>
      <c r="G191" s="325"/>
      <c r="H191" s="325"/>
      <c r="I191" s="325"/>
      <c r="J191" s="325"/>
      <c r="K191" s="325"/>
      <c r="L191" s="325"/>
      <c r="M191" s="324"/>
      <c r="N191" s="324"/>
      <c r="O191" s="324"/>
      <c r="P191" s="324"/>
      <c r="Q191" s="324"/>
      <c r="R191" s="324"/>
      <c r="S191" s="324"/>
      <c r="T191" s="324"/>
      <c r="U191" s="324"/>
      <c r="V191" s="324"/>
      <c r="W191" s="324"/>
      <c r="X191" s="364"/>
      <c r="Y191" s="324"/>
      <c r="Z191" s="324"/>
      <c r="AA191" s="324"/>
      <c r="AB191" s="324"/>
      <c r="AC191" s="324"/>
      <c r="AD191" s="324"/>
      <c r="AE191" s="324"/>
      <c r="AF191" s="324"/>
      <c r="AG191" s="324"/>
      <c r="AH191" s="324"/>
      <c r="AI191" s="325"/>
    </row>
    <row r="192" spans="1:35" ht="14.25" hidden="1">
      <c r="A192" s="325"/>
      <c r="B192" s="325"/>
      <c r="C192" s="325"/>
      <c r="D192" s="325"/>
      <c r="E192" s="325"/>
      <c r="F192" s="325"/>
      <c r="G192" s="325"/>
      <c r="H192" s="325"/>
      <c r="I192" s="325"/>
      <c r="J192" s="325"/>
      <c r="K192" s="325"/>
      <c r="L192" s="325"/>
      <c r="M192" s="324"/>
      <c r="N192" s="324"/>
      <c r="O192" s="324"/>
      <c r="P192" s="324"/>
      <c r="Q192" s="324"/>
      <c r="R192" s="324"/>
      <c r="S192" s="324"/>
      <c r="T192" s="324"/>
      <c r="U192" s="324"/>
      <c r="V192" s="324"/>
      <c r="W192" s="324"/>
      <c r="X192" s="364"/>
      <c r="Y192" s="324"/>
      <c r="Z192" s="324"/>
      <c r="AA192" s="324"/>
      <c r="AB192" s="324"/>
      <c r="AC192" s="324"/>
      <c r="AD192" s="324"/>
      <c r="AE192" s="324"/>
      <c r="AF192" s="324"/>
      <c r="AG192" s="324"/>
      <c r="AH192" s="324"/>
      <c r="AI192" s="325"/>
    </row>
    <row r="193" spans="1:35" ht="14.25" hidden="1">
      <c r="A193" s="324"/>
      <c r="B193" s="265"/>
      <c r="C193" s="265"/>
      <c r="D193" s="265"/>
      <c r="E193" s="324"/>
      <c r="F193" s="324"/>
      <c r="G193" s="324"/>
      <c r="H193" s="324"/>
      <c r="I193" s="324"/>
      <c r="J193" s="324"/>
      <c r="K193" s="324"/>
      <c r="L193" s="324"/>
      <c r="M193" s="324"/>
      <c r="N193" s="324"/>
      <c r="O193" s="324"/>
      <c r="P193" s="324"/>
      <c r="Q193" s="324"/>
      <c r="R193" s="324"/>
      <c r="S193" s="324"/>
      <c r="T193" s="324"/>
      <c r="U193" s="324"/>
      <c r="V193" s="324"/>
      <c r="W193" s="324"/>
      <c r="X193" s="364"/>
      <c r="Y193" s="324"/>
      <c r="Z193" s="324"/>
      <c r="AA193" s="324"/>
      <c r="AB193" s="324"/>
      <c r="AC193" s="324"/>
      <c r="AD193" s="324"/>
      <c r="AE193" s="324"/>
      <c r="AF193" s="324"/>
      <c r="AG193" s="324"/>
      <c r="AH193" s="324"/>
      <c r="AI193" s="325"/>
    </row>
    <row r="194" spans="1:35" ht="14.25" hidden="1">
      <c r="A194" s="324"/>
      <c r="B194" s="265"/>
      <c r="C194" s="265"/>
      <c r="D194" s="265"/>
      <c r="E194" s="324"/>
      <c r="F194" s="324"/>
      <c r="G194" s="324"/>
      <c r="H194" s="324"/>
      <c r="I194" s="324"/>
      <c r="J194" s="324"/>
      <c r="K194" s="324"/>
      <c r="L194" s="324"/>
      <c r="M194" s="324"/>
      <c r="N194" s="324"/>
      <c r="O194" s="324"/>
      <c r="P194" s="324"/>
      <c r="Q194" s="324"/>
      <c r="R194" s="324"/>
      <c r="S194" s="324"/>
      <c r="T194" s="324"/>
      <c r="U194" s="324"/>
      <c r="V194" s="324"/>
      <c r="W194" s="324"/>
      <c r="X194" s="364"/>
      <c r="Y194" s="324"/>
      <c r="Z194" s="324"/>
      <c r="AA194" s="324"/>
      <c r="AB194" s="324"/>
      <c r="AC194" s="324"/>
      <c r="AD194" s="324"/>
      <c r="AE194" s="324"/>
      <c r="AF194" s="324"/>
      <c r="AG194" s="324"/>
      <c r="AH194" s="324"/>
      <c r="AI194" s="325"/>
    </row>
    <row r="195" spans="1:35" ht="14.25" hidden="1">
      <c r="A195" s="325"/>
      <c r="B195" s="325"/>
      <c r="C195" s="325"/>
      <c r="D195" s="325"/>
      <c r="E195" s="325"/>
      <c r="F195" s="325"/>
      <c r="G195" s="325"/>
      <c r="H195" s="325"/>
      <c r="I195" s="325"/>
      <c r="J195" s="325"/>
      <c r="K195" s="325"/>
      <c r="L195" s="325"/>
      <c r="M195" s="324"/>
      <c r="N195" s="324"/>
      <c r="O195" s="324"/>
      <c r="P195" s="324"/>
      <c r="Q195" s="324"/>
      <c r="R195" s="324"/>
      <c r="S195" s="324"/>
      <c r="T195" s="324"/>
      <c r="U195" s="324"/>
      <c r="V195" s="324"/>
      <c r="W195" s="324"/>
      <c r="X195" s="364"/>
      <c r="Y195" s="324"/>
      <c r="Z195" s="324"/>
      <c r="AA195" s="324"/>
      <c r="AB195" s="324"/>
      <c r="AC195" s="324"/>
      <c r="AD195" s="324"/>
      <c r="AE195" s="324"/>
      <c r="AF195" s="324"/>
      <c r="AG195" s="324"/>
      <c r="AH195" s="324"/>
      <c r="AI195" s="325"/>
    </row>
    <row r="196" spans="1:35" ht="12.75" hidden="1">
      <c r="A196" s="355"/>
      <c r="B196" s="325"/>
      <c r="C196" s="325"/>
      <c r="D196" s="325"/>
      <c r="E196" s="355"/>
      <c r="F196" s="355"/>
      <c r="G196" s="355"/>
      <c r="H196" s="355"/>
      <c r="I196" s="355"/>
      <c r="J196" s="355"/>
      <c r="K196" s="355" t="s">
        <v>263</v>
      </c>
      <c r="L196" s="355"/>
      <c r="M196" s="355"/>
      <c r="N196" s="376" t="e">
        <f>N186/#REF!</f>
        <v>#REF!</v>
      </c>
      <c r="O196" s="355" t="s">
        <v>263</v>
      </c>
      <c r="P196" s="355"/>
      <c r="Q196" s="376" t="e">
        <f>Q186/#REF!</f>
        <v>#REF!</v>
      </c>
      <c r="R196" s="355"/>
      <c r="S196" s="376"/>
      <c r="T196" s="376"/>
      <c r="U196" s="355"/>
      <c r="V196" s="355"/>
      <c r="W196" s="355"/>
      <c r="X196" s="363"/>
      <c r="Y196" s="355"/>
      <c r="Z196" s="355"/>
      <c r="AA196" s="355"/>
      <c r="AB196" s="355"/>
      <c r="AC196" s="355"/>
      <c r="AD196" s="355"/>
      <c r="AE196" s="355"/>
      <c r="AF196" s="355"/>
      <c r="AG196" s="355"/>
      <c r="AH196" s="355"/>
      <c r="AI196" s="325"/>
    </row>
    <row r="197" spans="1:35" ht="14.25" hidden="1">
      <c r="A197" s="319"/>
      <c r="B197" s="370"/>
      <c r="C197" s="370"/>
      <c r="D197" s="370"/>
      <c r="E197" s="319" t="e">
        <f>#REF!*12</f>
        <v>#REF!</v>
      </c>
      <c r="F197" s="371" t="e">
        <f>#REF!*12</f>
        <v>#REF!</v>
      </c>
      <c r="G197" s="319"/>
      <c r="H197" s="319"/>
      <c r="I197" s="319"/>
      <c r="J197" s="319"/>
      <c r="K197" s="319"/>
      <c r="L197" s="319"/>
      <c r="M197" s="319"/>
      <c r="N197" s="319"/>
      <c r="O197" s="319"/>
      <c r="P197" s="319"/>
      <c r="Q197" s="319"/>
      <c r="R197" s="319"/>
      <c r="S197" s="376">
        <v>65000</v>
      </c>
      <c r="T197" s="376"/>
      <c r="U197" s="319"/>
      <c r="V197" s="319"/>
      <c r="W197" s="319"/>
      <c r="X197" s="301"/>
      <c r="Y197" s="319"/>
      <c r="Z197" s="319"/>
      <c r="AA197" s="319"/>
      <c r="AB197" s="319"/>
      <c r="AC197" s="319"/>
      <c r="AD197" s="319"/>
      <c r="AE197" s="319"/>
      <c r="AF197" s="319"/>
      <c r="AG197" s="319"/>
      <c r="AH197" s="319"/>
      <c r="AI197" s="321"/>
    </row>
    <row r="198" spans="1:35" ht="14.25" hidden="1">
      <c r="A198" s="319"/>
      <c r="B198" s="370"/>
      <c r="C198" s="370"/>
      <c r="D198" s="370"/>
      <c r="E198" s="319"/>
      <c r="F198" s="319"/>
      <c r="G198" s="319"/>
      <c r="H198" s="319"/>
      <c r="I198" s="319"/>
      <c r="J198" s="319"/>
      <c r="K198" s="324" t="s">
        <v>264</v>
      </c>
      <c r="L198" s="324"/>
      <c r="M198" s="319"/>
      <c r="N198" s="319"/>
      <c r="O198" s="319"/>
      <c r="P198" s="319"/>
      <c r="Q198" s="319"/>
      <c r="R198" s="319"/>
      <c r="S198" s="319"/>
      <c r="T198" s="319"/>
      <c r="U198" s="319"/>
      <c r="V198" s="319"/>
      <c r="W198" s="319"/>
      <c r="X198" s="301"/>
      <c r="Y198" s="319"/>
      <c r="Z198" s="319"/>
      <c r="AA198" s="319"/>
      <c r="AB198" s="319"/>
      <c r="AC198" s="319"/>
      <c r="AD198" s="319"/>
      <c r="AE198" s="319"/>
      <c r="AF198" s="319"/>
      <c r="AG198" s="319"/>
      <c r="AH198" s="319"/>
      <c r="AI198" s="321"/>
    </row>
    <row r="199" spans="1:35" ht="14.25" hidden="1">
      <c r="A199" s="319"/>
      <c r="B199" s="370"/>
      <c r="C199" s="370"/>
      <c r="D199" s="370"/>
      <c r="E199" s="319"/>
      <c r="F199" s="319"/>
      <c r="G199" s="319"/>
      <c r="H199" s="319"/>
      <c r="I199" s="319"/>
      <c r="J199" s="319"/>
      <c r="K199" s="319"/>
      <c r="L199" s="319"/>
      <c r="M199" s="319"/>
      <c r="N199" s="319"/>
      <c r="O199" s="319"/>
      <c r="P199" s="319"/>
      <c r="Q199" s="319"/>
      <c r="R199" s="319"/>
      <c r="S199" s="319"/>
      <c r="T199" s="319"/>
      <c r="U199" s="319"/>
      <c r="V199" s="319"/>
      <c r="W199" s="319"/>
      <c r="X199" s="301"/>
      <c r="Y199" s="319"/>
      <c r="Z199" s="319"/>
      <c r="AA199" s="319"/>
      <c r="AB199" s="319"/>
      <c r="AC199" s="319"/>
      <c r="AD199" s="319"/>
      <c r="AE199" s="319"/>
      <c r="AF199" s="319"/>
      <c r="AG199" s="319"/>
      <c r="AH199" s="319"/>
      <c r="AI199" s="321"/>
    </row>
    <row r="200" spans="1:35" ht="14.25" hidden="1">
      <c r="A200" s="319"/>
      <c r="B200" s="370"/>
      <c r="C200" s="370"/>
      <c r="D200" s="370"/>
      <c r="E200" s="319"/>
      <c r="F200" s="319"/>
      <c r="G200" s="319"/>
      <c r="H200" s="319"/>
      <c r="I200" s="319"/>
      <c r="J200" s="319"/>
      <c r="K200" s="319" t="s">
        <v>265</v>
      </c>
      <c r="L200" s="319"/>
      <c r="M200" s="319"/>
      <c r="N200" s="319" t="s">
        <v>266</v>
      </c>
      <c r="O200" s="319"/>
      <c r="P200" s="319" t="s">
        <v>267</v>
      </c>
      <c r="Q200" s="319"/>
      <c r="R200" s="319" t="s">
        <v>268</v>
      </c>
      <c r="S200" s="319"/>
      <c r="T200" s="319"/>
      <c r="U200" s="319"/>
      <c r="V200" s="319"/>
      <c r="W200" s="301"/>
      <c r="X200" s="386"/>
      <c r="Y200" s="319">
        <v>263.2</v>
      </c>
      <c r="Z200" s="319">
        <v>65.8</v>
      </c>
      <c r="AA200" s="319">
        <v>16.45</v>
      </c>
      <c r="AB200" s="319"/>
      <c r="AC200" s="319"/>
      <c r="AD200" s="319"/>
      <c r="AE200" s="319"/>
      <c r="AF200" s="319"/>
      <c r="AG200" s="319"/>
      <c r="AH200" s="319"/>
      <c r="AI200" s="321"/>
    </row>
    <row r="201" spans="1:35" ht="14.25" hidden="1">
      <c r="A201" s="319"/>
      <c r="B201" s="370"/>
      <c r="C201" s="370"/>
      <c r="D201" s="319"/>
      <c r="E201" s="319"/>
      <c r="F201" s="319"/>
      <c r="G201" s="319"/>
      <c r="H201" s="319"/>
      <c r="I201" s="319"/>
      <c r="J201" s="319"/>
      <c r="K201" s="319">
        <v>0.8</v>
      </c>
      <c r="L201" s="319"/>
      <c r="M201" s="319"/>
      <c r="N201" s="319">
        <v>2.5</v>
      </c>
      <c r="O201" s="319"/>
      <c r="P201" s="319">
        <v>1</v>
      </c>
      <c r="Q201" s="380"/>
      <c r="R201" s="384">
        <f>S197*N201*K201*P201</f>
        <v>130000</v>
      </c>
      <c r="S201" s="385"/>
      <c r="T201" s="385"/>
      <c r="U201" s="385"/>
      <c r="V201" s="385"/>
      <c r="W201" s="387"/>
      <c r="X201" s="386"/>
      <c r="Y201" s="319"/>
      <c r="Z201" s="319"/>
      <c r="AA201" s="319"/>
      <c r="AB201" s="319"/>
      <c r="AC201" s="319"/>
      <c r="AD201" s="319"/>
      <c r="AE201" s="319"/>
      <c r="AF201" s="319"/>
      <c r="AG201" s="319"/>
      <c r="AH201" s="319"/>
      <c r="AI201" s="321"/>
    </row>
    <row r="202" spans="1:35" ht="14.25" hidden="1">
      <c r="A202" s="319"/>
      <c r="B202" s="370"/>
      <c r="C202" s="370"/>
      <c r="D202" s="319"/>
      <c r="E202" s="319"/>
      <c r="F202" s="319"/>
      <c r="G202" s="319"/>
      <c r="H202" s="319"/>
      <c r="I202" s="319"/>
      <c r="J202" s="319"/>
      <c r="K202" s="319">
        <v>0.8</v>
      </c>
      <c r="L202" s="319"/>
      <c r="M202" s="319"/>
      <c r="N202" s="319">
        <v>2.5</v>
      </c>
      <c r="O202" s="319"/>
      <c r="P202" s="319">
        <v>0.9</v>
      </c>
      <c r="Q202" s="380"/>
      <c r="R202" s="384">
        <f>S197*N202*K202*P202</f>
        <v>117000</v>
      </c>
      <c r="S202" s="385"/>
      <c r="T202" s="385"/>
      <c r="U202" s="385"/>
      <c r="V202" s="385"/>
      <c r="W202" s="387"/>
      <c r="X202" s="386"/>
      <c r="Y202" s="319"/>
      <c r="Z202" s="319"/>
      <c r="AA202" s="319"/>
      <c r="AB202" s="319"/>
      <c r="AC202" s="319"/>
      <c r="AD202" s="319"/>
      <c r="AE202" s="319"/>
      <c r="AF202" s="319"/>
      <c r="AG202" s="319"/>
      <c r="AH202" s="319"/>
      <c r="AI202" s="321"/>
    </row>
    <row r="203" spans="1:35" ht="14.25" hidden="1">
      <c r="A203" s="319"/>
      <c r="B203" s="370"/>
      <c r="C203" s="370"/>
      <c r="D203" s="319"/>
      <c r="E203" s="319"/>
      <c r="F203" s="319"/>
      <c r="G203" s="319"/>
      <c r="H203" s="319"/>
      <c r="I203" s="319"/>
      <c r="J203" s="319"/>
      <c r="K203" s="319">
        <v>0.8</v>
      </c>
      <c r="L203" s="319"/>
      <c r="M203" s="319"/>
      <c r="N203" s="319">
        <v>2.5</v>
      </c>
      <c r="O203" s="319"/>
      <c r="P203" s="319">
        <v>0.85</v>
      </c>
      <c r="Q203" s="380"/>
      <c r="R203" s="384">
        <f>S197*N203*K203*P203</f>
        <v>110500</v>
      </c>
      <c r="S203" s="385"/>
      <c r="T203" s="385"/>
      <c r="U203" s="385"/>
      <c r="V203" s="385"/>
      <c r="W203" s="387"/>
      <c r="X203" s="386"/>
      <c r="Y203" s="319"/>
      <c r="Z203" s="319"/>
      <c r="AA203" s="319"/>
      <c r="AB203" s="319"/>
      <c r="AC203" s="319"/>
      <c r="AD203" s="319"/>
      <c r="AE203" s="319"/>
      <c r="AF203" s="319"/>
      <c r="AG203" s="319"/>
      <c r="AH203" s="319"/>
      <c r="AI203" s="321"/>
    </row>
    <row r="204" spans="1:35" ht="14.25" hidden="1">
      <c r="A204" s="319"/>
      <c r="B204" s="370"/>
      <c r="C204" s="370"/>
      <c r="D204" s="370"/>
      <c r="E204" s="319"/>
      <c r="F204" s="319"/>
      <c r="G204" s="319"/>
      <c r="H204" s="319"/>
      <c r="I204" s="319"/>
      <c r="J204" s="319"/>
      <c r="K204" s="319"/>
      <c r="L204" s="319"/>
      <c r="M204" s="319"/>
      <c r="N204" s="319"/>
      <c r="O204" s="319"/>
      <c r="P204" s="319"/>
      <c r="Q204" s="380"/>
      <c r="R204" s="380"/>
      <c r="S204" s="380"/>
      <c r="T204" s="380"/>
      <c r="U204" s="380"/>
      <c r="V204" s="380"/>
      <c r="W204" s="380"/>
      <c r="X204" s="387"/>
      <c r="Y204" s="319"/>
      <c r="Z204" s="319"/>
      <c r="AA204" s="319"/>
      <c r="AB204" s="319"/>
      <c r="AC204" s="319"/>
      <c r="AD204" s="319"/>
      <c r="AE204" s="319"/>
      <c r="AF204" s="319"/>
      <c r="AG204" s="319"/>
      <c r="AH204" s="319"/>
      <c r="AI204" s="321"/>
    </row>
    <row r="205" spans="1:35" ht="14.25" hidden="1">
      <c r="A205" s="319"/>
      <c r="B205" s="370"/>
      <c r="C205" s="370"/>
      <c r="D205" s="319"/>
      <c r="E205" s="319"/>
      <c r="F205" s="319"/>
      <c r="G205" s="319"/>
      <c r="H205" s="319"/>
      <c r="I205" s="319"/>
      <c r="J205" s="319"/>
      <c r="K205" s="377" t="s">
        <v>269</v>
      </c>
      <c r="L205" s="377"/>
      <c r="M205" s="319"/>
      <c r="N205" s="319"/>
      <c r="O205" s="319"/>
      <c r="P205" s="319"/>
      <c r="Q205" s="380"/>
      <c r="R205" s="380"/>
      <c r="S205" s="380"/>
      <c r="T205" s="380"/>
      <c r="U205" s="380"/>
      <c r="V205" s="380"/>
      <c r="W205" s="380"/>
      <c r="X205" s="387"/>
      <c r="Y205" s="319"/>
      <c r="Z205" s="319"/>
      <c r="AA205" s="319"/>
      <c r="AB205" s="319"/>
      <c r="AC205" s="319"/>
      <c r="AD205" s="319"/>
      <c r="AE205" s="319"/>
      <c r="AF205" s="319"/>
      <c r="AG205" s="319"/>
      <c r="AH205" s="319"/>
      <c r="AI205" s="321"/>
    </row>
    <row r="206" spans="1:35" ht="14.25" hidden="1">
      <c r="A206" s="319"/>
      <c r="B206" s="370"/>
      <c r="C206" s="370"/>
      <c r="D206" s="370"/>
      <c r="E206" s="319"/>
      <c r="F206" s="319"/>
      <c r="G206" s="319"/>
      <c r="H206" s="319"/>
      <c r="I206" s="319"/>
      <c r="J206" s="319"/>
      <c r="K206" s="378"/>
      <c r="L206" s="378"/>
      <c r="M206" s="319"/>
      <c r="N206" s="319"/>
      <c r="O206" s="319"/>
      <c r="P206" s="319"/>
      <c r="Q206" s="380"/>
      <c r="R206" s="380"/>
      <c r="S206" s="380"/>
      <c r="T206" s="380"/>
      <c r="U206" s="380"/>
      <c r="V206" s="380"/>
      <c r="W206" s="380"/>
      <c r="X206" s="387"/>
      <c r="Y206" s="319"/>
      <c r="Z206" s="319"/>
      <c r="AA206" s="319"/>
      <c r="AB206" s="319"/>
      <c r="AC206" s="319"/>
      <c r="AD206" s="319"/>
      <c r="AE206" s="319"/>
      <c r="AF206" s="319"/>
      <c r="AG206" s="319"/>
      <c r="AH206" s="319"/>
      <c r="AI206" s="321"/>
    </row>
    <row r="207" spans="1:35" ht="14.25" hidden="1">
      <c r="A207" s="319"/>
      <c r="B207" s="370"/>
      <c r="C207" s="370"/>
      <c r="D207" s="370"/>
      <c r="E207" s="319"/>
      <c r="F207" s="319"/>
      <c r="G207" s="319"/>
      <c r="H207" s="319"/>
      <c r="I207" s="319"/>
      <c r="J207" s="319"/>
      <c r="K207" s="378" t="s">
        <v>270</v>
      </c>
      <c r="L207" s="378"/>
      <c r="M207" s="319"/>
      <c r="N207" s="319" t="s">
        <v>271</v>
      </c>
      <c r="O207" s="319"/>
      <c r="P207" s="319" t="s">
        <v>272</v>
      </c>
      <c r="Q207" s="380"/>
      <c r="R207" s="380"/>
      <c r="S207" s="380"/>
      <c r="T207" s="380"/>
      <c r="U207" s="385"/>
      <c r="V207" s="379"/>
      <c r="W207" s="387"/>
      <c r="X207" s="379" t="e">
        <f>P212</f>
        <v>#REF!</v>
      </c>
      <c r="Y207" s="319"/>
      <c r="Z207" s="319"/>
      <c r="AA207" s="319"/>
      <c r="AB207" s="319"/>
      <c r="AC207" s="319"/>
      <c r="AD207" s="319"/>
      <c r="AE207" s="319"/>
      <c r="AF207" s="319"/>
      <c r="AG207" s="319"/>
      <c r="AH207" s="319"/>
      <c r="AI207" s="321"/>
    </row>
    <row r="208" spans="1:35" ht="14.25" hidden="1">
      <c r="A208" s="319"/>
      <c r="B208" s="370"/>
      <c r="C208" s="370"/>
      <c r="D208" s="319" t="s">
        <v>268</v>
      </c>
      <c r="E208" s="319"/>
      <c r="F208" s="319"/>
      <c r="G208" s="319"/>
      <c r="H208" s="319"/>
      <c r="I208" s="319"/>
      <c r="J208" s="319"/>
      <c r="K208" s="319">
        <v>0.9</v>
      </c>
      <c r="L208" s="319"/>
      <c r="M208" s="319"/>
      <c r="N208" s="319">
        <v>1</v>
      </c>
      <c r="O208" s="319"/>
      <c r="P208" s="379">
        <f aca="true" t="shared" si="241" ref="P208:P210">R201*K208*N208</f>
        <v>117000</v>
      </c>
      <c r="Q208" s="380"/>
      <c r="R208" s="380"/>
      <c r="S208" s="380"/>
      <c r="T208" s="380"/>
      <c r="U208" s="379"/>
      <c r="V208" s="379"/>
      <c r="W208" s="387"/>
      <c r="X208" s="385" t="e">
        <f>P213*3</f>
        <v>#REF!</v>
      </c>
      <c r="Y208" s="319"/>
      <c r="Z208" s="319"/>
      <c r="AA208" s="319"/>
      <c r="AB208" s="319"/>
      <c r="AC208" s="319"/>
      <c r="AD208" s="319"/>
      <c r="AE208" s="319"/>
      <c r="AF208" s="319"/>
      <c r="AG208" s="319"/>
      <c r="AH208" s="319"/>
      <c r="AI208" s="321"/>
    </row>
    <row r="209" spans="1:35" ht="14.25" hidden="1">
      <c r="A209" s="319"/>
      <c r="B209" s="370"/>
      <c r="C209" s="370"/>
      <c r="D209" s="319"/>
      <c r="E209" s="319"/>
      <c r="F209" s="319"/>
      <c r="G209" s="319"/>
      <c r="H209" s="319"/>
      <c r="I209" s="319"/>
      <c r="J209" s="319"/>
      <c r="K209" s="319">
        <v>0.9</v>
      </c>
      <c r="L209" s="319"/>
      <c r="M209" s="319"/>
      <c r="N209" s="319">
        <v>1</v>
      </c>
      <c r="O209" s="319"/>
      <c r="P209" s="379">
        <f t="shared" si="241"/>
        <v>105300</v>
      </c>
      <c r="Q209" s="380"/>
      <c r="R209" s="380"/>
      <c r="S209" s="380"/>
      <c r="T209" s="380"/>
      <c r="U209" s="379"/>
      <c r="V209" s="379"/>
      <c r="W209" s="387"/>
      <c r="X209" s="319"/>
      <c r="Y209" s="319"/>
      <c r="Z209" s="319"/>
      <c r="AA209" s="319"/>
      <c r="AB209" s="319"/>
      <c r="AC209" s="319"/>
      <c r="AD209" s="319"/>
      <c r="AE209" s="319"/>
      <c r="AF209" s="319"/>
      <c r="AG209" s="319"/>
      <c r="AH209" s="319"/>
      <c r="AI209" s="321"/>
    </row>
    <row r="210" spans="1:35" ht="14.25" hidden="1">
      <c r="A210" s="319"/>
      <c r="B210" s="370"/>
      <c r="C210" s="370"/>
      <c r="D210" s="319"/>
      <c r="E210" s="319"/>
      <c r="F210" s="319"/>
      <c r="G210" s="319"/>
      <c r="H210" s="319"/>
      <c r="I210" s="319"/>
      <c r="J210" s="319"/>
      <c r="K210" s="319">
        <v>0.9</v>
      </c>
      <c r="L210" s="319"/>
      <c r="M210" s="319"/>
      <c r="N210" s="319">
        <v>1</v>
      </c>
      <c r="O210" s="319"/>
      <c r="P210" s="379">
        <f t="shared" si="241"/>
        <v>99450</v>
      </c>
      <c r="Q210" s="380"/>
      <c r="R210" s="380"/>
      <c r="S210" s="380"/>
      <c r="T210" s="380"/>
      <c r="U210" s="379"/>
      <c r="V210" s="379"/>
      <c r="W210" s="387"/>
      <c r="X210" s="319"/>
      <c r="Y210" s="319"/>
      <c r="Z210" s="319"/>
      <c r="AA210" s="319"/>
      <c r="AB210" s="319"/>
      <c r="AC210" s="319"/>
      <c r="AD210" s="319"/>
      <c r="AE210" s="319"/>
      <c r="AF210" s="319"/>
      <c r="AG210" s="319"/>
      <c r="AH210" s="319"/>
      <c r="AI210" s="321"/>
    </row>
    <row r="211" spans="1:35" ht="14.25" hidden="1">
      <c r="A211" s="319"/>
      <c r="B211" s="370"/>
      <c r="C211" s="370"/>
      <c r="D211" s="319"/>
      <c r="E211" s="319"/>
      <c r="F211" s="319"/>
      <c r="G211" s="319"/>
      <c r="H211" s="319"/>
      <c r="I211" s="319"/>
      <c r="J211" s="319"/>
      <c r="K211" s="319"/>
      <c r="L211" s="319"/>
      <c r="M211" s="319"/>
      <c r="N211" s="319"/>
      <c r="O211" s="319"/>
      <c r="P211" s="379"/>
      <c r="Q211" s="380"/>
      <c r="R211" s="380"/>
      <c r="S211" s="380"/>
      <c r="T211" s="380"/>
      <c r="U211" s="385"/>
      <c r="V211" s="380"/>
      <c r="W211" s="387"/>
      <c r="X211" s="319"/>
      <c r="Y211" s="319"/>
      <c r="Z211" s="319"/>
      <c r="AA211" s="319"/>
      <c r="AB211" s="319"/>
      <c r="AC211" s="319"/>
      <c r="AD211" s="319"/>
      <c r="AE211" s="319"/>
      <c r="AF211" s="319"/>
      <c r="AG211" s="319"/>
      <c r="AH211" s="319"/>
      <c r="AI211" s="321"/>
    </row>
    <row r="212" spans="1:35" ht="14.25" hidden="1">
      <c r="A212" s="319"/>
      <c r="B212" s="370"/>
      <c r="C212" s="370"/>
      <c r="D212" s="319" t="s">
        <v>273</v>
      </c>
      <c r="E212" s="319"/>
      <c r="F212" s="319"/>
      <c r="G212" s="319"/>
      <c r="H212" s="319"/>
      <c r="I212" s="319"/>
      <c r="J212" s="319"/>
      <c r="K212" s="319">
        <v>0.9</v>
      </c>
      <c r="L212" s="319"/>
      <c r="M212" s="319"/>
      <c r="N212" s="319">
        <v>1</v>
      </c>
      <c r="O212" s="319"/>
      <c r="P212" s="379" t="e">
        <f>#REF!*K212*N212</f>
        <v>#REF!</v>
      </c>
      <c r="Q212" s="380"/>
      <c r="R212" s="379"/>
      <c r="S212" s="380"/>
      <c r="T212" s="380"/>
      <c r="U212" s="379"/>
      <c r="V212" s="380"/>
      <c r="W212" s="387"/>
      <c r="X212" s="319"/>
      <c r="Y212" s="319"/>
      <c r="Z212" s="319"/>
      <c r="AA212" s="319"/>
      <c r="AB212" s="319"/>
      <c r="AC212" s="319"/>
      <c r="AD212" s="319"/>
      <c r="AE212" s="319"/>
      <c r="AF212" s="319"/>
      <c r="AG212" s="319"/>
      <c r="AH212" s="319"/>
      <c r="AI212" s="321"/>
    </row>
    <row r="213" spans="1:35" ht="14.25" hidden="1">
      <c r="A213" s="319"/>
      <c r="B213" s="370"/>
      <c r="C213" s="370"/>
      <c r="D213" s="370"/>
      <c r="E213" s="319"/>
      <c r="F213" s="319"/>
      <c r="G213" s="319"/>
      <c r="H213" s="319"/>
      <c r="I213" s="319"/>
      <c r="J213" s="319"/>
      <c r="K213" s="319">
        <v>0.9</v>
      </c>
      <c r="L213" s="319"/>
      <c r="M213" s="319"/>
      <c r="N213" s="319">
        <v>1</v>
      </c>
      <c r="O213" s="319"/>
      <c r="P213" s="379" t="e">
        <f>#REF!*K213*N213</f>
        <v>#REF!</v>
      </c>
      <c r="Q213" s="380"/>
      <c r="R213" s="380"/>
      <c r="S213" s="380"/>
      <c r="T213" s="380"/>
      <c r="U213" s="380"/>
      <c r="V213" s="380"/>
      <c r="W213" s="387"/>
      <c r="X213" s="319"/>
      <c r="Y213" s="319"/>
      <c r="Z213" s="319"/>
      <c r="AA213" s="319"/>
      <c r="AB213" s="319"/>
      <c r="AC213" s="319"/>
      <c r="AD213" s="319"/>
      <c r="AE213" s="319"/>
      <c r="AF213" s="319"/>
      <c r="AG213" s="319"/>
      <c r="AH213" s="319"/>
      <c r="AI213" s="321"/>
    </row>
    <row r="214" spans="1:35" ht="14.25" hidden="1">
      <c r="A214" s="319"/>
      <c r="B214" s="370"/>
      <c r="C214" s="370"/>
      <c r="D214" s="370"/>
      <c r="E214" s="319"/>
      <c r="F214" s="319"/>
      <c r="G214" s="319"/>
      <c r="H214" s="319"/>
      <c r="I214" s="319"/>
      <c r="J214" s="319"/>
      <c r="K214" s="319">
        <v>0.9</v>
      </c>
      <c r="L214" s="319"/>
      <c r="M214" s="319"/>
      <c r="N214" s="319">
        <v>1</v>
      </c>
      <c r="O214" s="319"/>
      <c r="P214" s="379" t="e">
        <f>#REF!*K214*N214</f>
        <v>#REF!</v>
      </c>
      <c r="Q214" s="380"/>
      <c r="R214" s="380"/>
      <c r="S214" s="380"/>
      <c r="T214" s="380"/>
      <c r="U214" s="380"/>
      <c r="V214" s="380"/>
      <c r="W214" s="387"/>
      <c r="X214" s="319"/>
      <c r="Y214" s="319"/>
      <c r="Z214" s="319"/>
      <c r="AA214" s="319"/>
      <c r="AB214" s="319"/>
      <c r="AC214" s="319"/>
      <c r="AD214" s="319"/>
      <c r="AE214" s="319"/>
      <c r="AF214" s="319"/>
      <c r="AG214" s="319"/>
      <c r="AH214" s="319"/>
      <c r="AI214" s="321"/>
    </row>
    <row r="215" spans="1:35" ht="14.25" hidden="1">
      <c r="A215" s="319"/>
      <c r="B215" s="370"/>
      <c r="C215" s="370"/>
      <c r="D215" s="370"/>
      <c r="E215" s="319"/>
      <c r="F215" s="319"/>
      <c r="G215" s="319"/>
      <c r="H215" s="319"/>
      <c r="I215" s="319"/>
      <c r="J215" s="319"/>
      <c r="K215" s="319"/>
      <c r="L215" s="319"/>
      <c r="M215" s="319"/>
      <c r="N215" s="319"/>
      <c r="O215" s="319"/>
      <c r="P215" s="380"/>
      <c r="Q215" s="380"/>
      <c r="R215" s="380"/>
      <c r="S215" s="380"/>
      <c r="T215" s="380"/>
      <c r="U215" s="319"/>
      <c r="V215" s="319"/>
      <c r="W215" s="319"/>
      <c r="X215" s="301"/>
      <c r="Y215" s="319"/>
      <c r="Z215" s="319"/>
      <c r="AA215" s="319"/>
      <c r="AB215" s="319"/>
      <c r="AC215" s="319"/>
      <c r="AD215" s="319"/>
      <c r="AE215" s="319"/>
      <c r="AF215" s="319"/>
      <c r="AG215" s="319"/>
      <c r="AH215" s="319"/>
      <c r="AI215" s="321"/>
    </row>
    <row r="216" spans="1:35" ht="14.25" hidden="1">
      <c r="A216" s="319"/>
      <c r="B216" s="370"/>
      <c r="C216" s="370"/>
      <c r="D216" s="370"/>
      <c r="E216" s="319"/>
      <c r="F216" s="319"/>
      <c r="G216" s="319"/>
      <c r="H216" s="319"/>
      <c r="I216" s="319"/>
      <c r="J216" s="319"/>
      <c r="K216" s="377" t="s">
        <v>274</v>
      </c>
      <c r="L216" s="377"/>
      <c r="M216" s="319"/>
      <c r="N216" s="319"/>
      <c r="O216" s="319"/>
      <c r="P216" s="319"/>
      <c r="Q216" s="319"/>
      <c r="R216" s="319"/>
      <c r="S216" s="319"/>
      <c r="T216" s="319"/>
      <c r="U216" s="319"/>
      <c r="V216" s="319"/>
      <c r="W216" s="319"/>
      <c r="X216" s="301"/>
      <c r="Y216" s="319"/>
      <c r="Z216" s="319"/>
      <c r="AA216" s="319"/>
      <c r="AB216" s="319"/>
      <c r="AC216" s="319"/>
      <c r="AD216" s="319"/>
      <c r="AE216" s="319"/>
      <c r="AF216" s="319"/>
      <c r="AG216" s="319"/>
      <c r="AH216" s="319"/>
      <c r="AI216" s="321"/>
    </row>
    <row r="217" spans="1:35" ht="14.25" hidden="1">
      <c r="A217" s="319"/>
      <c r="B217" s="370"/>
      <c r="C217" s="370"/>
      <c r="D217" s="370"/>
      <c r="E217" s="319"/>
      <c r="F217" s="319"/>
      <c r="G217" s="319"/>
      <c r="H217" s="319"/>
      <c r="I217" s="319"/>
      <c r="J217" s="319"/>
      <c r="K217" s="319"/>
      <c r="L217" s="319"/>
      <c r="M217" s="319"/>
      <c r="N217" s="319"/>
      <c r="O217" s="319"/>
      <c r="P217" s="319"/>
      <c r="Q217" s="319"/>
      <c r="R217" s="319"/>
      <c r="S217" s="319"/>
      <c r="T217" s="319"/>
      <c r="U217" s="319"/>
      <c r="V217" s="319"/>
      <c r="W217" s="319"/>
      <c r="X217" s="301"/>
      <c r="Y217" s="319"/>
      <c r="Z217" s="319"/>
      <c r="AA217" s="319"/>
      <c r="AB217" s="319"/>
      <c r="AC217" s="319"/>
      <c r="AD217" s="319"/>
      <c r="AE217" s="319"/>
      <c r="AF217" s="319"/>
      <c r="AG217" s="319"/>
      <c r="AH217" s="319"/>
      <c r="AI217" s="321"/>
    </row>
    <row r="218" spans="1:35" ht="14.25" hidden="1">
      <c r="A218" s="319"/>
      <c r="B218" s="370"/>
      <c r="C218" s="370"/>
      <c r="D218" s="370"/>
      <c r="E218" s="319"/>
      <c r="F218" s="319"/>
      <c r="G218" s="319"/>
      <c r="H218" s="319"/>
      <c r="I218" s="319"/>
      <c r="J218" s="319"/>
      <c r="K218" s="319" t="s">
        <v>275</v>
      </c>
      <c r="L218" s="319"/>
      <c r="M218" s="319"/>
      <c r="N218" s="319"/>
      <c r="O218" s="319" t="s">
        <v>276</v>
      </c>
      <c r="P218" s="319"/>
      <c r="Q218" s="319"/>
      <c r="R218" s="319" t="s">
        <v>277</v>
      </c>
      <c r="S218" s="319"/>
      <c r="T218" s="319"/>
      <c r="U218" s="319"/>
      <c r="V218" s="319"/>
      <c r="W218" s="319"/>
      <c r="X218" s="301"/>
      <c r="Y218" s="319"/>
      <c r="Z218" s="319"/>
      <c r="AA218" s="319"/>
      <c r="AB218" s="319"/>
      <c r="AC218" s="319"/>
      <c r="AD218" s="319"/>
      <c r="AE218" s="319"/>
      <c r="AF218" s="319"/>
      <c r="AG218" s="319"/>
      <c r="AH218" s="319"/>
      <c r="AI218" s="321"/>
    </row>
    <row r="219" spans="1:35" ht="14.25" hidden="1">
      <c r="A219" s="319"/>
      <c r="B219" s="370"/>
      <c r="C219" s="370"/>
      <c r="D219" s="319" t="s">
        <v>268</v>
      </c>
      <c r="E219" s="319"/>
      <c r="F219" s="319"/>
      <c r="G219" s="319"/>
      <c r="H219" s="319"/>
      <c r="I219" s="319"/>
      <c r="J219" s="319"/>
      <c r="K219" s="381">
        <f aca="true" t="shared" si="242" ref="K219:K221">R201+P208</f>
        <v>247000</v>
      </c>
      <c r="L219" s="382"/>
      <c r="M219" s="319"/>
      <c r="N219" s="319"/>
      <c r="O219" s="383">
        <v>0.15</v>
      </c>
      <c r="P219" s="319"/>
      <c r="Q219" s="319"/>
      <c r="R219" s="388">
        <f aca="true" t="shared" si="243" ref="R219:R221">K219*O219</f>
        <v>37050</v>
      </c>
      <c r="S219" s="319"/>
      <c r="T219" s="319"/>
      <c r="U219" s="319">
        <f aca="true" t="shared" si="244" ref="U219:U221">R219/3</f>
        <v>12350</v>
      </c>
      <c r="V219" s="319"/>
      <c r="W219" s="319"/>
      <c r="X219" s="301"/>
      <c r="Y219" s="319"/>
      <c r="Z219" s="319"/>
      <c r="AA219" s="319"/>
      <c r="AB219" s="319"/>
      <c r="AC219" s="319"/>
      <c r="AD219" s="319"/>
      <c r="AE219" s="319"/>
      <c r="AF219" s="319"/>
      <c r="AG219" s="319"/>
      <c r="AH219" s="319"/>
      <c r="AI219" s="321"/>
    </row>
    <row r="220" spans="1:35" ht="14.25" hidden="1">
      <c r="A220" s="319"/>
      <c r="B220" s="370"/>
      <c r="C220" s="370"/>
      <c r="D220" s="319"/>
      <c r="E220" s="319"/>
      <c r="F220" s="319"/>
      <c r="G220" s="319"/>
      <c r="H220" s="319"/>
      <c r="I220" s="319"/>
      <c r="J220" s="319"/>
      <c r="K220" s="381">
        <f t="shared" si="242"/>
        <v>222300</v>
      </c>
      <c r="L220" s="382"/>
      <c r="M220" s="319"/>
      <c r="N220" s="319"/>
      <c r="O220" s="383">
        <v>0.15</v>
      </c>
      <c r="P220" s="319"/>
      <c r="Q220" s="319"/>
      <c r="R220" s="388">
        <f t="shared" si="243"/>
        <v>33345</v>
      </c>
      <c r="S220" s="319"/>
      <c r="T220" s="319"/>
      <c r="U220" s="319">
        <f t="shared" si="244"/>
        <v>11115</v>
      </c>
      <c r="V220" s="319"/>
      <c r="W220" s="319"/>
      <c r="X220" s="301"/>
      <c r="Y220" s="319"/>
      <c r="Z220" s="319"/>
      <c r="AA220" s="319"/>
      <c r="AB220" s="319"/>
      <c r="AC220" s="319"/>
      <c r="AD220" s="319"/>
      <c r="AE220" s="319"/>
      <c r="AF220" s="319"/>
      <c r="AG220" s="319"/>
      <c r="AH220" s="319"/>
      <c r="AI220" s="321"/>
    </row>
    <row r="221" spans="1:35" ht="14.25" hidden="1">
      <c r="A221" s="319"/>
      <c r="B221" s="370"/>
      <c r="C221" s="370"/>
      <c r="D221" s="319"/>
      <c r="E221" s="319"/>
      <c r="F221" s="319"/>
      <c r="G221" s="319"/>
      <c r="H221" s="319"/>
      <c r="I221" s="319"/>
      <c r="J221" s="319"/>
      <c r="K221" s="381">
        <f t="shared" si="242"/>
        <v>209950</v>
      </c>
      <c r="L221" s="382"/>
      <c r="M221" s="319"/>
      <c r="N221" s="319"/>
      <c r="O221" s="383">
        <v>0.15</v>
      </c>
      <c r="P221" s="319"/>
      <c r="Q221" s="319"/>
      <c r="R221" s="388">
        <f t="shared" si="243"/>
        <v>31492.5</v>
      </c>
      <c r="S221" s="319"/>
      <c r="T221" s="319"/>
      <c r="U221" s="319">
        <f t="shared" si="244"/>
        <v>10497.5</v>
      </c>
      <c r="V221" s="319"/>
      <c r="W221" s="319"/>
      <c r="X221" s="301"/>
      <c r="Y221" s="319"/>
      <c r="Z221" s="319"/>
      <c r="AA221" s="319"/>
      <c r="AB221" s="319"/>
      <c r="AC221" s="319"/>
      <c r="AD221" s="319"/>
      <c r="AE221" s="319"/>
      <c r="AF221" s="319"/>
      <c r="AG221" s="319"/>
      <c r="AH221" s="319"/>
      <c r="AI221" s="321"/>
    </row>
    <row r="222" spans="1:35" ht="14.25" hidden="1">
      <c r="A222" s="319"/>
      <c r="B222" s="370"/>
      <c r="C222" s="370"/>
      <c r="D222" s="319"/>
      <c r="E222" s="319"/>
      <c r="F222" s="319"/>
      <c r="G222" s="319"/>
      <c r="H222" s="319"/>
      <c r="I222" s="319"/>
      <c r="J222" s="319"/>
      <c r="K222" s="319"/>
      <c r="L222" s="319"/>
      <c r="M222" s="319"/>
      <c r="N222" s="319"/>
      <c r="O222" s="319"/>
      <c r="P222" s="319"/>
      <c r="Q222" s="319"/>
      <c r="R222" s="388"/>
      <c r="S222" s="319"/>
      <c r="T222" s="319"/>
      <c r="U222" s="319"/>
      <c r="V222" s="319"/>
      <c r="W222" s="319"/>
      <c r="X222" s="301"/>
      <c r="Y222" s="319"/>
      <c r="Z222" s="319"/>
      <c r="AA222" s="319"/>
      <c r="AB222" s="319"/>
      <c r="AC222" s="319"/>
      <c r="AD222" s="319"/>
      <c r="AE222" s="319"/>
      <c r="AF222" s="319"/>
      <c r="AG222" s="319"/>
      <c r="AH222" s="319"/>
      <c r="AI222" s="321"/>
    </row>
    <row r="223" spans="1:35" ht="14.25" hidden="1">
      <c r="A223" s="319"/>
      <c r="B223" s="370"/>
      <c r="C223" s="370"/>
      <c r="D223" s="319" t="s">
        <v>273</v>
      </c>
      <c r="E223" s="319"/>
      <c r="F223" s="319"/>
      <c r="G223" s="319"/>
      <c r="H223" s="319"/>
      <c r="I223" s="319"/>
      <c r="J223" s="319"/>
      <c r="K223" s="382" t="e">
        <f>#REF!+P212</f>
        <v>#REF!</v>
      </c>
      <c r="L223" s="382"/>
      <c r="M223" s="319"/>
      <c r="N223" s="319"/>
      <c r="O223" s="383">
        <v>0.15</v>
      </c>
      <c r="P223" s="319"/>
      <c r="Q223" s="319"/>
      <c r="R223" s="388" t="e">
        <f aca="true" t="shared" si="245" ref="R223:R225">K223*O223</f>
        <v>#REF!</v>
      </c>
      <c r="S223" s="319"/>
      <c r="T223" s="319"/>
      <c r="U223" s="319"/>
      <c r="V223" s="319"/>
      <c r="W223" s="319"/>
      <c r="X223" s="301"/>
      <c r="Y223" s="319"/>
      <c r="Z223" s="319"/>
      <c r="AA223" s="319"/>
      <c r="AB223" s="319"/>
      <c r="AC223" s="319"/>
      <c r="AD223" s="319"/>
      <c r="AE223" s="319"/>
      <c r="AF223" s="319"/>
      <c r="AG223" s="319"/>
      <c r="AH223" s="319"/>
      <c r="AI223" s="321"/>
    </row>
    <row r="224" spans="1:35" ht="14.25" hidden="1">
      <c r="A224" s="319"/>
      <c r="B224" s="370"/>
      <c r="C224" s="370"/>
      <c r="D224" s="370"/>
      <c r="E224" s="319"/>
      <c r="F224" s="319"/>
      <c r="G224" s="319"/>
      <c r="H224" s="319"/>
      <c r="I224" s="319"/>
      <c r="J224" s="319"/>
      <c r="K224" s="382" t="e">
        <f>#REF!+P213</f>
        <v>#REF!</v>
      </c>
      <c r="L224" s="382"/>
      <c r="M224" s="319"/>
      <c r="N224" s="319"/>
      <c r="O224" s="383">
        <v>0.15</v>
      </c>
      <c r="P224" s="319"/>
      <c r="Q224" s="319"/>
      <c r="R224" s="388" t="e">
        <f t="shared" si="245"/>
        <v>#REF!</v>
      </c>
      <c r="S224" s="319"/>
      <c r="T224" s="319"/>
      <c r="U224" s="319"/>
      <c r="V224" s="319"/>
      <c r="W224" s="319"/>
      <c r="X224" s="301"/>
      <c r="Y224" s="319"/>
      <c r="Z224" s="319"/>
      <c r="AA224" s="319"/>
      <c r="AB224" s="319"/>
      <c r="AC224" s="319"/>
      <c r="AD224" s="319"/>
      <c r="AE224" s="319"/>
      <c r="AF224" s="319"/>
      <c r="AG224" s="319"/>
      <c r="AH224" s="319"/>
      <c r="AI224" s="321"/>
    </row>
    <row r="225" spans="1:35" ht="14.25" hidden="1">
      <c r="A225" s="319"/>
      <c r="B225" s="370"/>
      <c r="C225" s="370"/>
      <c r="D225" s="370"/>
      <c r="E225" s="319"/>
      <c r="F225" s="319"/>
      <c r="G225" s="319"/>
      <c r="H225" s="319"/>
      <c r="I225" s="319"/>
      <c r="J225" s="319"/>
      <c r="K225" s="382" t="e">
        <f>#REF!+P214</f>
        <v>#REF!</v>
      </c>
      <c r="L225" s="382"/>
      <c r="M225" s="319"/>
      <c r="N225" s="319"/>
      <c r="O225" s="383">
        <v>0.15</v>
      </c>
      <c r="P225" s="319"/>
      <c r="Q225" s="319"/>
      <c r="R225" s="388" t="e">
        <f t="shared" si="245"/>
        <v>#REF!</v>
      </c>
      <c r="S225" s="319"/>
      <c r="T225" s="319"/>
      <c r="U225" s="319"/>
      <c r="V225" s="319"/>
      <c r="W225" s="319"/>
      <c r="X225" s="301"/>
      <c r="Y225" s="319"/>
      <c r="Z225" s="319"/>
      <c r="AA225" s="319"/>
      <c r="AB225" s="319"/>
      <c r="AC225" s="319"/>
      <c r="AD225" s="319"/>
      <c r="AE225" s="319"/>
      <c r="AF225" s="319"/>
      <c r="AG225" s="319"/>
      <c r="AH225" s="319"/>
      <c r="AI225" s="321"/>
    </row>
    <row r="226" spans="1:35" ht="14.25" hidden="1">
      <c r="A226" s="319"/>
      <c r="B226" s="370"/>
      <c r="C226" s="370"/>
      <c r="D226" s="370"/>
      <c r="E226" s="319"/>
      <c r="F226" s="319"/>
      <c r="G226" s="319"/>
      <c r="H226" s="319"/>
      <c r="I226" s="319"/>
      <c r="J226" s="319"/>
      <c r="K226" s="319"/>
      <c r="L226" s="319"/>
      <c r="M226" s="319"/>
      <c r="N226" s="319"/>
      <c r="O226" s="319"/>
      <c r="P226" s="319"/>
      <c r="Q226" s="319"/>
      <c r="R226" s="319"/>
      <c r="S226" s="319"/>
      <c r="T226" s="319"/>
      <c r="U226" s="319"/>
      <c r="V226" s="319"/>
      <c r="W226" s="319"/>
      <c r="X226" s="301"/>
      <c r="Y226" s="319"/>
      <c r="Z226" s="319"/>
      <c r="AA226" s="319"/>
      <c r="AB226" s="319"/>
      <c r="AC226" s="319"/>
      <c r="AD226" s="319"/>
      <c r="AE226" s="319"/>
      <c r="AF226" s="319"/>
      <c r="AG226" s="319"/>
      <c r="AH226" s="319"/>
      <c r="AI226" s="321"/>
    </row>
    <row r="227" spans="1:35" ht="14.25" hidden="1">
      <c r="A227" s="319"/>
      <c r="B227" s="370"/>
      <c r="C227" s="370"/>
      <c r="D227" s="370"/>
      <c r="E227" s="319"/>
      <c r="F227" s="319"/>
      <c r="G227" s="319"/>
      <c r="H227" s="319"/>
      <c r="I227" s="319"/>
      <c r="J227" s="319"/>
      <c r="K227" s="319" t="s">
        <v>278</v>
      </c>
      <c r="L227" s="319"/>
      <c r="M227" s="319" t="s">
        <v>272</v>
      </c>
      <c r="N227" s="319" t="s">
        <v>279</v>
      </c>
      <c r="O227" s="319"/>
      <c r="P227" s="319" t="s">
        <v>280</v>
      </c>
      <c r="Q227" s="319"/>
      <c r="R227" s="319"/>
      <c r="S227" s="319"/>
      <c r="T227" s="319"/>
      <c r="U227" s="319"/>
      <c r="V227" s="319"/>
      <c r="W227" s="319"/>
      <c r="X227" s="301"/>
      <c r="Y227" s="319"/>
      <c r="Z227" s="319"/>
      <c r="AA227" s="319"/>
      <c r="AB227" s="319"/>
      <c r="AC227" s="319"/>
      <c r="AD227" s="319"/>
      <c r="AE227" s="319"/>
      <c r="AF227" s="319"/>
      <c r="AG227" s="319"/>
      <c r="AH227" s="319"/>
      <c r="AI227" s="321"/>
    </row>
    <row r="228" spans="1:35" ht="14.25" hidden="1">
      <c r="A228" s="319"/>
      <c r="B228" s="370"/>
      <c r="C228" s="370"/>
      <c r="D228" s="370"/>
      <c r="E228" s="319"/>
      <c r="F228" s="319"/>
      <c r="G228" s="319"/>
      <c r="H228" s="319"/>
      <c r="I228" s="319"/>
      <c r="J228" s="319"/>
      <c r="K228" s="384">
        <f aca="true" t="shared" si="246" ref="K228:K230">R201</f>
        <v>130000</v>
      </c>
      <c r="L228" s="385"/>
      <c r="M228" s="385">
        <f aca="true" t="shared" si="247" ref="M228:M230">P208</f>
        <v>117000</v>
      </c>
      <c r="N228" s="379">
        <f aca="true" t="shared" si="248" ref="N228:N234">R219</f>
        <v>37050</v>
      </c>
      <c r="O228" s="380"/>
      <c r="P228" s="385">
        <f aca="true" t="shared" si="249" ref="P228:P230">SUM(K228:O228)</f>
        <v>284050</v>
      </c>
      <c r="Q228" s="319"/>
      <c r="R228" s="389">
        <f aca="true" t="shared" si="250" ref="R228:R233">P228*1</f>
        <v>284050</v>
      </c>
      <c r="S228" s="319"/>
      <c r="T228" s="319"/>
      <c r="U228" s="319"/>
      <c r="V228" s="319"/>
      <c r="W228" s="319"/>
      <c r="X228" s="301"/>
      <c r="Y228" s="319"/>
      <c r="Z228" s="319"/>
      <c r="AA228" s="319"/>
      <c r="AB228" s="319"/>
      <c r="AC228" s="319"/>
      <c r="AD228" s="319"/>
      <c r="AE228" s="319"/>
      <c r="AF228" s="319"/>
      <c r="AG228" s="319"/>
      <c r="AH228" s="319"/>
      <c r="AI228" s="321"/>
    </row>
    <row r="229" spans="1:35" ht="14.25" hidden="1">
      <c r="A229" s="319"/>
      <c r="B229" s="370"/>
      <c r="C229" s="370"/>
      <c r="D229" s="370"/>
      <c r="E229" s="319"/>
      <c r="F229" s="319"/>
      <c r="G229" s="319"/>
      <c r="H229" s="319"/>
      <c r="I229" s="319"/>
      <c r="J229" s="319"/>
      <c r="K229" s="384">
        <f t="shared" si="246"/>
        <v>117000</v>
      </c>
      <c r="L229" s="385"/>
      <c r="M229" s="379">
        <f t="shared" si="247"/>
        <v>105300</v>
      </c>
      <c r="N229" s="379">
        <f t="shared" si="248"/>
        <v>33345</v>
      </c>
      <c r="O229" s="380"/>
      <c r="P229" s="385">
        <f t="shared" si="249"/>
        <v>255645</v>
      </c>
      <c r="Q229" s="319"/>
      <c r="R229" s="389">
        <f t="shared" si="250"/>
        <v>255645</v>
      </c>
      <c r="S229" s="319"/>
      <c r="T229" s="319"/>
      <c r="U229" s="319"/>
      <c r="V229" s="319"/>
      <c r="W229" s="319"/>
      <c r="X229" s="301"/>
      <c r="Y229" s="319"/>
      <c r="Z229" s="319"/>
      <c r="AA229" s="319"/>
      <c r="AB229" s="319"/>
      <c r="AC229" s="319"/>
      <c r="AD229" s="319"/>
      <c r="AE229" s="319"/>
      <c r="AF229" s="319"/>
      <c r="AG229" s="319"/>
      <c r="AH229" s="319"/>
      <c r="AI229" s="321"/>
    </row>
    <row r="230" spans="1:35" ht="14.25" hidden="1">
      <c r="A230" s="319"/>
      <c r="B230" s="370"/>
      <c r="C230" s="370"/>
      <c r="D230" s="370"/>
      <c r="E230" s="319"/>
      <c r="F230" s="319"/>
      <c r="G230" s="319"/>
      <c r="H230" s="319"/>
      <c r="I230" s="319"/>
      <c r="J230" s="319"/>
      <c r="K230" s="384">
        <f t="shared" si="246"/>
        <v>110500</v>
      </c>
      <c r="L230" s="385"/>
      <c r="M230" s="379">
        <f t="shared" si="247"/>
        <v>99450</v>
      </c>
      <c r="N230" s="379">
        <f t="shared" si="248"/>
        <v>31492.5</v>
      </c>
      <c r="O230" s="380"/>
      <c r="P230" s="385">
        <f t="shared" si="249"/>
        <v>241442.5</v>
      </c>
      <c r="Q230" s="319"/>
      <c r="R230" s="389">
        <f>P230*3</f>
        <v>724327.5</v>
      </c>
      <c r="S230" s="319"/>
      <c r="T230" s="319"/>
      <c r="U230" s="319"/>
      <c r="V230" s="319"/>
      <c r="W230" s="319"/>
      <c r="X230" s="301"/>
      <c r="Y230" s="319"/>
      <c r="Z230" s="319"/>
      <c r="AA230" s="319"/>
      <c r="AB230" s="319"/>
      <c r="AC230" s="319"/>
      <c r="AD230" s="319"/>
      <c r="AE230" s="319"/>
      <c r="AF230" s="319"/>
      <c r="AG230" s="319"/>
      <c r="AH230" s="319"/>
      <c r="AI230" s="321"/>
    </row>
    <row r="231" spans="1:35" ht="14.25" hidden="1">
      <c r="A231" s="319"/>
      <c r="B231" s="370"/>
      <c r="C231" s="370"/>
      <c r="D231" s="370"/>
      <c r="E231" s="319"/>
      <c r="F231" s="319"/>
      <c r="G231" s="319"/>
      <c r="H231" s="319"/>
      <c r="I231" s="319"/>
      <c r="J231" s="319"/>
      <c r="K231" s="380"/>
      <c r="L231" s="380"/>
      <c r="M231" s="380"/>
      <c r="N231" s="379">
        <f t="shared" si="248"/>
        <v>0</v>
      </c>
      <c r="O231" s="380"/>
      <c r="P231" s="385"/>
      <c r="Q231" s="319"/>
      <c r="R231" s="388"/>
      <c r="S231" s="379">
        <f>SUM(R228:R229)</f>
        <v>539695</v>
      </c>
      <c r="T231" s="379"/>
      <c r="U231" s="319"/>
      <c r="V231" s="319"/>
      <c r="W231" s="319"/>
      <c r="X231" s="301"/>
      <c r="Y231" s="319"/>
      <c r="Z231" s="319"/>
      <c r="AA231" s="319"/>
      <c r="AB231" s="319"/>
      <c r="AC231" s="319"/>
      <c r="AD231" s="319"/>
      <c r="AE231" s="319"/>
      <c r="AF231" s="319"/>
      <c r="AG231" s="319"/>
      <c r="AH231" s="319"/>
      <c r="AI231" s="321"/>
    </row>
    <row r="232" spans="1:35" ht="14.25" hidden="1">
      <c r="A232" s="319"/>
      <c r="B232" s="370"/>
      <c r="C232" s="370"/>
      <c r="D232" s="370"/>
      <c r="E232" s="319"/>
      <c r="F232" s="308"/>
      <c r="G232" s="308"/>
      <c r="H232" s="308"/>
      <c r="I232" s="308"/>
      <c r="J232" s="308"/>
      <c r="K232" s="385" t="e">
        <f>#REF!</f>
        <v>#REF!</v>
      </c>
      <c r="L232" s="385"/>
      <c r="M232" s="379" t="e">
        <f aca="true" t="shared" si="251" ref="M232:M234">P212</f>
        <v>#REF!</v>
      </c>
      <c r="N232" s="379" t="e">
        <f t="shared" si="248"/>
        <v>#REF!</v>
      </c>
      <c r="O232" s="380"/>
      <c r="P232" s="385" t="e">
        <f aca="true" t="shared" si="252" ref="P232:P234">SUM(K232:O232)</f>
        <v>#REF!</v>
      </c>
      <c r="Q232" s="308"/>
      <c r="R232" s="390" t="e">
        <f t="shared" si="250"/>
        <v>#REF!</v>
      </c>
      <c r="S232" s="379"/>
      <c r="T232" s="379"/>
      <c r="U232" s="319"/>
      <c r="V232" s="319"/>
      <c r="W232" s="319"/>
      <c r="X232" s="301"/>
      <c r="Y232" s="319"/>
      <c r="Z232" s="319"/>
      <c r="AA232" s="319"/>
      <c r="AB232" s="319"/>
      <c r="AC232" s="319"/>
      <c r="AD232" s="319"/>
      <c r="AE232" s="319"/>
      <c r="AF232" s="319"/>
      <c r="AG232" s="319"/>
      <c r="AH232" s="319"/>
      <c r="AI232" s="321"/>
    </row>
    <row r="233" spans="1:35" ht="14.25" hidden="1">
      <c r="A233" s="319"/>
      <c r="B233" s="370"/>
      <c r="C233" s="370"/>
      <c r="D233" s="370"/>
      <c r="E233" s="319"/>
      <c r="F233" s="308"/>
      <c r="G233" s="308"/>
      <c r="H233" s="308"/>
      <c r="I233" s="308"/>
      <c r="J233" s="308"/>
      <c r="K233" s="385" t="e">
        <f>#REF!</f>
        <v>#REF!</v>
      </c>
      <c r="L233" s="385"/>
      <c r="M233" s="379" t="e">
        <f t="shared" si="251"/>
        <v>#REF!</v>
      </c>
      <c r="N233" s="379" t="e">
        <f t="shared" si="248"/>
        <v>#REF!</v>
      </c>
      <c r="O233" s="380"/>
      <c r="P233" s="385" t="e">
        <f t="shared" si="252"/>
        <v>#REF!</v>
      </c>
      <c r="Q233" s="308"/>
      <c r="R233" s="390" t="e">
        <f t="shared" si="250"/>
        <v>#REF!</v>
      </c>
      <c r="S233" s="379"/>
      <c r="T233" s="379"/>
      <c r="U233" s="319"/>
      <c r="V233" s="319"/>
      <c r="W233" s="319"/>
      <c r="X233" s="301"/>
      <c r="Y233" s="319"/>
      <c r="Z233" s="319"/>
      <c r="AA233" s="319"/>
      <c r="AB233" s="319"/>
      <c r="AC233" s="319"/>
      <c r="AD233" s="319"/>
      <c r="AE233" s="319"/>
      <c r="AF233" s="319"/>
      <c r="AG233" s="319"/>
      <c r="AH233" s="319"/>
      <c r="AI233" s="321"/>
    </row>
    <row r="234" spans="1:35" ht="14.25" hidden="1">
      <c r="A234" s="319"/>
      <c r="B234" s="370"/>
      <c r="C234" s="370"/>
      <c r="D234" s="370"/>
      <c r="E234" s="319"/>
      <c r="F234" s="308"/>
      <c r="G234" s="308"/>
      <c r="H234" s="308"/>
      <c r="I234" s="308"/>
      <c r="J234" s="308"/>
      <c r="K234" s="385" t="e">
        <f>#REF!</f>
        <v>#REF!</v>
      </c>
      <c r="L234" s="385"/>
      <c r="M234" s="379" t="e">
        <f t="shared" si="251"/>
        <v>#REF!</v>
      </c>
      <c r="N234" s="379" t="e">
        <f t="shared" si="248"/>
        <v>#REF!</v>
      </c>
      <c r="O234" s="380"/>
      <c r="P234" s="385" t="e">
        <f t="shared" si="252"/>
        <v>#REF!</v>
      </c>
      <c r="Q234" s="308"/>
      <c r="R234" s="390" t="e">
        <f>P234*3</f>
        <v>#REF!</v>
      </c>
      <c r="S234" s="379"/>
      <c r="T234" s="379"/>
      <c r="U234" s="319"/>
      <c r="V234" s="319"/>
      <c r="W234" s="319"/>
      <c r="X234" s="301"/>
      <c r="Y234" s="319"/>
      <c r="Z234" s="319"/>
      <c r="AA234" s="319"/>
      <c r="AB234" s="319"/>
      <c r="AC234" s="319"/>
      <c r="AD234" s="319"/>
      <c r="AE234" s="319"/>
      <c r="AF234" s="319"/>
      <c r="AG234" s="319"/>
      <c r="AH234" s="319"/>
      <c r="AI234" s="321"/>
    </row>
    <row r="235" spans="1:35" ht="14.25" hidden="1">
      <c r="A235" s="319"/>
      <c r="B235" s="370"/>
      <c r="C235" s="370"/>
      <c r="D235" s="370"/>
      <c r="E235" s="319"/>
      <c r="F235" s="308"/>
      <c r="G235" s="308"/>
      <c r="H235" s="308"/>
      <c r="I235" s="308"/>
      <c r="J235" s="308"/>
      <c r="K235" s="385" t="e">
        <f aca="true" t="shared" si="253" ref="K235:N235">SUM(K232:K234)</f>
        <v>#REF!</v>
      </c>
      <c r="L235" s="385"/>
      <c r="M235" s="385" t="e">
        <f t="shared" si="253"/>
        <v>#REF!</v>
      </c>
      <c r="N235" s="385" t="e">
        <f t="shared" si="253"/>
        <v>#REF!</v>
      </c>
      <c r="O235" s="380"/>
      <c r="P235" s="385" t="e">
        <f>SUM(P232:P234)</f>
        <v>#REF!</v>
      </c>
      <c r="Q235" s="380"/>
      <c r="R235" s="380"/>
      <c r="S235" s="379" t="e">
        <f>SUM(R232:R233)</f>
        <v>#REF!</v>
      </c>
      <c r="T235" s="379"/>
      <c r="U235" s="319"/>
      <c r="V235" s="319"/>
      <c r="W235" s="319"/>
      <c r="X235" s="301"/>
      <c r="Y235" s="319"/>
      <c r="Z235" s="319"/>
      <c r="AA235" s="319"/>
      <c r="AB235" s="319"/>
      <c r="AC235" s="319"/>
      <c r="AD235" s="319"/>
      <c r="AE235" s="319"/>
      <c r="AF235" s="319"/>
      <c r="AG235" s="319"/>
      <c r="AH235" s="319"/>
      <c r="AI235" s="321"/>
    </row>
    <row r="236" spans="1:35" ht="14.25" hidden="1">
      <c r="A236" s="319"/>
      <c r="B236" s="370"/>
      <c r="C236" s="370"/>
      <c r="D236" s="370"/>
      <c r="E236" s="319"/>
      <c r="F236" s="319"/>
      <c r="G236" s="319"/>
      <c r="H236" s="319"/>
      <c r="I236" s="319"/>
      <c r="J236" s="319"/>
      <c r="K236" s="319"/>
      <c r="L236" s="319"/>
      <c r="M236" s="319"/>
      <c r="N236" s="319"/>
      <c r="O236" s="319"/>
      <c r="P236" s="319"/>
      <c r="Q236" s="319"/>
      <c r="R236" s="319"/>
      <c r="S236" s="319"/>
      <c r="T236" s="319"/>
      <c r="U236" s="319"/>
      <c r="V236" s="319"/>
      <c r="W236" s="319"/>
      <c r="X236" s="301"/>
      <c r="Y236" s="319"/>
      <c r="Z236" s="319"/>
      <c r="AA236" s="319"/>
      <c r="AB236" s="319"/>
      <c r="AC236" s="319"/>
      <c r="AD236" s="319"/>
      <c r="AE236" s="319"/>
      <c r="AF236" s="319"/>
      <c r="AG236" s="319"/>
      <c r="AH236" s="319"/>
      <c r="AI236" s="321"/>
    </row>
    <row r="237" spans="1:35" ht="14.25" hidden="1">
      <c r="A237" s="319"/>
      <c r="B237" s="370"/>
      <c r="C237" s="370"/>
      <c r="D237" s="370"/>
      <c r="E237" s="372" t="e">
        <f>E19+E11+E10+E27+E58+E71+E41+E42+E33+E65+#REF!</f>
        <v>#REF!</v>
      </c>
      <c r="F237" s="372" t="e">
        <f>F19+F11+F10+F27+F58+F71+F41+F42+F33+F65+#REF!</f>
        <v>#REF!</v>
      </c>
      <c r="G237" s="372" t="e">
        <f>G19+G11+G10+G27+G58+G71+G41+G42+G33+G65+#REF!</f>
        <v>#VALUE!</v>
      </c>
      <c r="H237" s="372" t="e">
        <f>H19+H11+H10+H27+H58+H71+H41+H42+H33+H65+#REF!</f>
        <v>#REF!</v>
      </c>
      <c r="I237" s="372" t="e">
        <f>I19+I11+I10+I27+I58+I71+I41+I42+I33+I65+#REF!</f>
        <v>#REF!</v>
      </c>
      <c r="J237" s="372" t="e">
        <f>J19+J11+J10+J27+J58+J71+J41+J42+J33+J65+#REF!</f>
        <v>#REF!</v>
      </c>
      <c r="K237" s="372" t="e">
        <f>K19+K11+K10+K27+K58+K71+K41+K42+K33+K65+#REF!</f>
        <v>#REF!</v>
      </c>
      <c r="L237" s="372"/>
      <c r="M237" s="372"/>
      <c r="N237" s="372"/>
      <c r="O237" s="372"/>
      <c r="P237" s="372"/>
      <c r="Q237" s="372"/>
      <c r="R237" s="372"/>
      <c r="S237" s="372"/>
      <c r="T237" s="372"/>
      <c r="U237" s="372" t="e">
        <f>U19+U11+U10+U27+U58+U71+U41+U42+U33+U65+#REF!</f>
        <v>#REF!</v>
      </c>
      <c r="V237" s="372"/>
      <c r="W237" s="372" t="e">
        <f>W19+W11+W10+W27+W58+W71+W41+W42+W33+W65+#REF!</f>
        <v>#REF!</v>
      </c>
      <c r="X237" s="301"/>
      <c r="Y237" s="319"/>
      <c r="Z237" s="319"/>
      <c r="AA237" s="319"/>
      <c r="AB237" s="319"/>
      <c r="AC237" s="319"/>
      <c r="AD237" s="319"/>
      <c r="AE237" s="319"/>
      <c r="AF237" s="319"/>
      <c r="AG237" s="319" t="e">
        <f>#REF!*3</f>
        <v>#REF!</v>
      </c>
      <c r="AH237" s="319"/>
      <c r="AI237" s="321"/>
    </row>
    <row r="238" spans="1:35" ht="14.25" hidden="1">
      <c r="A238" s="319"/>
      <c r="B238" s="370"/>
      <c r="C238" s="370"/>
      <c r="D238" s="370"/>
      <c r="E238" s="319"/>
      <c r="F238" s="319"/>
      <c r="G238" s="319"/>
      <c r="H238" s="319"/>
      <c r="I238" s="319"/>
      <c r="J238" s="319"/>
      <c r="K238" s="319"/>
      <c r="L238" s="319"/>
      <c r="M238" s="319"/>
      <c r="N238" s="319"/>
      <c r="O238" s="319"/>
      <c r="P238" s="319"/>
      <c r="Q238" s="319"/>
      <c r="R238" s="319"/>
      <c r="S238" s="319"/>
      <c r="T238" s="319"/>
      <c r="U238" s="319"/>
      <c r="V238" s="319"/>
      <c r="W238" s="319"/>
      <c r="X238" s="301"/>
      <c r="Y238" s="319"/>
      <c r="Z238" s="319"/>
      <c r="AA238" s="319"/>
      <c r="AB238" s="319"/>
      <c r="AC238" s="319"/>
      <c r="AD238" s="319"/>
      <c r="AE238" s="319"/>
      <c r="AF238" s="319"/>
      <c r="AG238" s="319"/>
      <c r="AH238" s="319"/>
      <c r="AI238" s="321"/>
    </row>
    <row r="239" spans="1:35" ht="12.75" hidden="1">
      <c r="A239" s="266"/>
      <c r="B239" s="267"/>
      <c r="C239" s="267"/>
      <c r="D239" s="267"/>
      <c r="E239" s="266" t="e">
        <f>E237*3</f>
        <v>#REF!</v>
      </c>
      <c r="F239" s="266" t="e">
        <f aca="true" t="shared" si="254" ref="F239:L239">F237*3</f>
        <v>#REF!</v>
      </c>
      <c r="G239" s="266" t="e">
        <f t="shared" si="254"/>
        <v>#VALUE!</v>
      </c>
      <c r="H239" s="266" t="e">
        <f t="shared" si="254"/>
        <v>#REF!</v>
      </c>
      <c r="I239" s="266" t="e">
        <f t="shared" si="254"/>
        <v>#REF!</v>
      </c>
      <c r="J239" s="266" t="e">
        <f t="shared" si="254"/>
        <v>#REF!</v>
      </c>
      <c r="K239" s="266" t="e">
        <f t="shared" si="254"/>
        <v>#REF!</v>
      </c>
      <c r="L239" s="266"/>
      <c r="M239" s="266"/>
      <c r="N239" s="266"/>
      <c r="O239" s="266"/>
      <c r="P239" s="266"/>
      <c r="Q239" s="266"/>
      <c r="R239" s="266"/>
      <c r="S239" s="266"/>
      <c r="T239" s="266"/>
      <c r="U239" s="266" t="e">
        <f>U237*3</f>
        <v>#REF!</v>
      </c>
      <c r="V239" s="266"/>
      <c r="W239" s="266"/>
      <c r="X239" s="391"/>
      <c r="Y239" s="266"/>
      <c r="Z239" s="266"/>
      <c r="AA239" s="266"/>
      <c r="AB239" s="266"/>
      <c r="AC239" s="266"/>
      <c r="AD239" s="266"/>
      <c r="AE239" s="266"/>
      <c r="AF239" s="266"/>
      <c r="AG239" s="266"/>
      <c r="AH239" s="266"/>
      <c r="AI239" s="317"/>
    </row>
    <row r="240" spans="1:35" ht="14.25" hidden="1">
      <c r="A240" s="319"/>
      <c r="B240" s="370"/>
      <c r="C240" s="370"/>
      <c r="D240" s="370"/>
      <c r="E240" s="319"/>
      <c r="F240" s="319"/>
      <c r="G240" s="319"/>
      <c r="H240" s="319"/>
      <c r="I240" s="319"/>
      <c r="J240" s="319"/>
      <c r="K240" s="319"/>
      <c r="L240" s="319"/>
      <c r="M240" s="319"/>
      <c r="N240" s="319"/>
      <c r="O240" s="319"/>
      <c r="P240" s="319"/>
      <c r="Q240" s="319"/>
      <c r="R240" s="319"/>
      <c r="S240" s="319"/>
      <c r="T240" s="319"/>
      <c r="U240" s="319"/>
      <c r="V240" s="319"/>
      <c r="W240" s="319"/>
      <c r="X240" s="301"/>
      <c r="Y240" s="319"/>
      <c r="Z240" s="319"/>
      <c r="AA240" s="319"/>
      <c r="AB240" s="319"/>
      <c r="AC240" s="319"/>
      <c r="AD240" s="319"/>
      <c r="AE240" s="319"/>
      <c r="AF240" s="319"/>
      <c r="AG240" s="319"/>
      <c r="AH240" s="319"/>
      <c r="AI240" s="321"/>
    </row>
    <row r="241" spans="1:35" ht="12.75" hidden="1">
      <c r="A241" s="266"/>
      <c r="B241" s="267"/>
      <c r="C241" s="267"/>
      <c r="D241" s="267"/>
      <c r="E241" s="266" t="s">
        <v>281</v>
      </c>
      <c r="F241" s="266" t="s">
        <v>282</v>
      </c>
      <c r="G241" s="266" t="s">
        <v>281</v>
      </c>
      <c r="H241" s="266" t="s">
        <v>282</v>
      </c>
      <c r="J241" s="266"/>
      <c r="K241" s="266"/>
      <c r="L241" s="266"/>
      <c r="M241" s="266"/>
      <c r="N241" s="266"/>
      <c r="O241" s="266"/>
      <c r="P241" s="266"/>
      <c r="Q241" s="266"/>
      <c r="R241" s="266"/>
      <c r="S241" s="266"/>
      <c r="T241" s="266"/>
      <c r="U241" s="266">
        <f>U10+U11+U19+U20+U27+U28+U33+U41+U42+U43+U58+U65+U71+U72</f>
        <v>20700</v>
      </c>
      <c r="V241" s="266"/>
      <c r="W241" s="266"/>
      <c r="X241" s="391"/>
      <c r="Y241" s="266"/>
      <c r="Z241" s="266"/>
      <c r="AA241" s="266"/>
      <c r="AB241" s="266"/>
      <c r="AC241" s="266"/>
      <c r="AD241" s="266"/>
      <c r="AE241" s="266"/>
      <c r="AF241" s="266"/>
      <c r="AG241" s="266"/>
      <c r="AH241" s="266"/>
      <c r="AI241" s="317"/>
    </row>
    <row r="242" spans="1:35" ht="12.75" hidden="1">
      <c r="A242" s="373">
        <f>C242/A74</f>
        <v>0.07547169811320754</v>
      </c>
      <c r="B242" s="267"/>
      <c r="C242" s="267">
        <v>4</v>
      </c>
      <c r="D242" s="267" t="s">
        <v>283</v>
      </c>
      <c r="E242" s="266">
        <f>E9*3</f>
        <v>96195</v>
      </c>
      <c r="F242" s="266"/>
      <c r="G242" s="266">
        <f>SUM(F5:J8)*3</f>
        <v>3036</v>
      </c>
      <c r="H242" s="266"/>
      <c r="I242" s="266">
        <f>(F10+I10+I11+F11+F19+F20+I19+I20+F27+F28+G27+G28+I27+I28+F33+G33+I33+F41+F42+F43+I41+I42+I43+F58+G58+I58+F65+I65+F71+F72+H71+I71+I72)*3</f>
        <v>23658</v>
      </c>
      <c r="J242" s="266"/>
      <c r="K242" s="266"/>
      <c r="L242" s="266"/>
      <c r="M242" s="266"/>
      <c r="N242" s="266"/>
      <c r="O242" s="266"/>
      <c r="P242" s="266"/>
      <c r="Q242" s="266"/>
      <c r="R242" s="266"/>
      <c r="S242" s="266"/>
      <c r="T242" s="266"/>
      <c r="U242" s="392">
        <f>U241*3</f>
        <v>62100</v>
      </c>
      <c r="V242" s="266"/>
      <c r="W242" s="392"/>
      <c r="X242" s="266"/>
      <c r="Y242" s="266"/>
      <c r="Z242" s="266"/>
      <c r="AA242" s="266"/>
      <c r="AB242" s="266"/>
      <c r="AC242" s="266"/>
      <c r="AD242" s="266"/>
      <c r="AE242" s="266"/>
      <c r="AF242" s="266"/>
      <c r="AG242" s="266"/>
      <c r="AH242" s="266"/>
      <c r="AI242" s="317"/>
    </row>
    <row r="243" spans="1:35" ht="12.75" hidden="1">
      <c r="A243" s="373">
        <f>C243/A74</f>
        <v>0.32075471698113206</v>
      </c>
      <c r="B243" s="267"/>
      <c r="C243" s="267">
        <f>14+3</f>
        <v>17</v>
      </c>
      <c r="D243" s="267" t="s">
        <v>39</v>
      </c>
      <c r="E243" s="266">
        <f>(E10+E11+E19+E20+E27+E28+E33+E41+E42+E43+E58+E65+E71+E72)*3</f>
        <v>216300</v>
      </c>
      <c r="F243" s="266">
        <f>(E10+E11+E19+E20+E27+E28+E33+E38+E41+E42+E43+E58+E63+E65+E69+E71+E72)*3</f>
        <v>228000</v>
      </c>
      <c r="G243" s="266">
        <f>(SUM(F10:I11)+SUM(F19:I20)+SUM(F27:I28)+SUM(F33:I33)+SUM(F41:I43)+SUM(F58:I58)+SUM(F65:I65)+SUM(F71:I72))*3</f>
        <v>32958</v>
      </c>
      <c r="H243" s="266"/>
      <c r="I243" s="266"/>
      <c r="J243" s="266"/>
      <c r="K243" s="266"/>
      <c r="L243" s="266"/>
      <c r="M243" s="266"/>
      <c r="N243" s="266"/>
      <c r="O243" s="266"/>
      <c r="P243" s="266"/>
      <c r="Q243" s="266"/>
      <c r="R243" s="266"/>
      <c r="S243" s="266"/>
      <c r="T243" s="266"/>
      <c r="U243" s="266"/>
      <c r="V243" s="266"/>
      <c r="W243" s="393"/>
      <c r="X243" s="266"/>
      <c r="Y243" s="266"/>
      <c r="Z243" s="266"/>
      <c r="AA243" s="266"/>
      <c r="AB243" s="266"/>
      <c r="AC243" s="266"/>
      <c r="AD243" s="266"/>
      <c r="AE243" s="266"/>
      <c r="AF243" s="266"/>
      <c r="AG243" s="266"/>
      <c r="AH243" s="266"/>
      <c r="AI243" s="317"/>
    </row>
    <row r="244" spans="1:35" ht="12.75" hidden="1">
      <c r="A244" s="373">
        <f>C244/A74</f>
        <v>0.6037735849056604</v>
      </c>
      <c r="B244" s="267"/>
      <c r="C244" s="267">
        <f>A74-C243-C242</f>
        <v>32</v>
      </c>
      <c r="D244" s="267" t="s">
        <v>54</v>
      </c>
      <c r="E244" s="374">
        <f>(SUM(E12:E16)+SUM(E21:E24)+SUM(E29:E31)+SUM(E34:E37)+SUM(E44:E54)+SUM(E59:E62)+SUM(E66:E68)+SUM(E73:E75))*3</f>
        <v>364200</v>
      </c>
      <c r="F244" s="374">
        <f>E77*3-E242-F243</f>
        <v>375900</v>
      </c>
      <c r="G244" s="374">
        <f>(SUM(F12:I16)+SUM(F21:I24)+SUM(F29:I31)+SUM(F34:I37)+SUM(F44:I54)+SUM(F59:I62)+SUM(F66:I68)+SUM(F73:I75))*3</f>
        <v>56133</v>
      </c>
      <c r="H244" s="374"/>
      <c r="I244" s="374"/>
      <c r="J244" s="374"/>
      <c r="K244" s="374"/>
      <c r="L244" s="374"/>
      <c r="M244" s="374"/>
      <c r="N244" s="374"/>
      <c r="O244" s="374"/>
      <c r="P244" s="374"/>
      <c r="Q244" s="374"/>
      <c r="R244" s="374"/>
      <c r="S244" s="374"/>
      <c r="T244" s="374"/>
      <c r="U244" s="374"/>
      <c r="V244" s="374"/>
      <c r="W244" s="374"/>
      <c r="X244" s="374"/>
      <c r="Y244" s="266"/>
      <c r="Z244" s="266"/>
      <c r="AA244" s="266"/>
      <c r="AB244" s="266"/>
      <c r="AC244" s="266"/>
      <c r="AD244" s="266"/>
      <c r="AE244" s="266"/>
      <c r="AF244" s="266"/>
      <c r="AG244" s="266"/>
      <c r="AH244" s="266"/>
      <c r="AI244" s="317"/>
    </row>
    <row r="245" spans="1:35" ht="12.75" hidden="1">
      <c r="A245" s="266"/>
      <c r="B245" s="267"/>
      <c r="C245" s="267"/>
      <c r="D245" s="267"/>
      <c r="E245" s="266"/>
      <c r="F245" s="266"/>
      <c r="G245" s="266"/>
      <c r="H245" s="266"/>
      <c r="I245" s="266"/>
      <c r="J245" s="266"/>
      <c r="K245" s="266"/>
      <c r="L245" s="266"/>
      <c r="M245" s="266"/>
      <c r="N245" s="266"/>
      <c r="O245" s="266"/>
      <c r="P245" s="266"/>
      <c r="Q245" s="266"/>
      <c r="R245" s="266"/>
      <c r="S245" s="266"/>
      <c r="T245" s="266"/>
      <c r="U245" s="266"/>
      <c r="V245" s="266"/>
      <c r="W245" s="266"/>
      <c r="X245" s="391"/>
      <c r="Y245" s="266"/>
      <c r="Z245" s="266"/>
      <c r="AA245" s="266"/>
      <c r="AB245" s="266"/>
      <c r="AC245" s="266"/>
      <c r="AD245" s="266"/>
      <c r="AE245" s="266"/>
      <c r="AF245" s="266"/>
      <c r="AG245" s="266"/>
      <c r="AH245" s="266"/>
      <c r="AI245" s="317"/>
    </row>
    <row r="246" spans="1:35" ht="12.75" hidden="1">
      <c r="A246" s="266" t="s">
        <v>284</v>
      </c>
      <c r="B246" s="267"/>
      <c r="C246" s="267"/>
      <c r="D246" s="267"/>
      <c r="E246" s="266"/>
      <c r="F246" s="266"/>
      <c r="G246" s="266"/>
      <c r="H246" s="266"/>
      <c r="I246" s="266"/>
      <c r="J246" s="266"/>
      <c r="K246" s="266"/>
      <c r="L246" s="266"/>
      <c r="M246" s="266"/>
      <c r="N246" s="266"/>
      <c r="O246" s="266"/>
      <c r="P246" s="266"/>
      <c r="Q246" s="266"/>
      <c r="R246" s="266"/>
      <c r="S246" s="266"/>
      <c r="T246" s="266"/>
      <c r="U246" s="266"/>
      <c r="V246" s="266"/>
      <c r="W246" s="266"/>
      <c r="X246" s="391"/>
      <c r="Y246" s="266"/>
      <c r="Z246" s="266"/>
      <c r="AA246" s="266"/>
      <c r="AB246" s="266"/>
      <c r="AC246" s="266"/>
      <c r="AD246" s="266"/>
      <c r="AE246" s="266"/>
      <c r="AF246" s="266"/>
      <c r="AG246" s="266"/>
      <c r="AH246" s="266"/>
      <c r="AI246" s="317"/>
    </row>
    <row r="247" spans="1:35" ht="12.75" hidden="1">
      <c r="A247" s="266"/>
      <c r="B247" s="267"/>
      <c r="C247" s="267"/>
      <c r="D247" s="267"/>
      <c r="E247" s="266"/>
      <c r="F247" s="266"/>
      <c r="G247" s="266"/>
      <c r="H247" s="266"/>
      <c r="I247" s="266"/>
      <c r="J247" s="266"/>
      <c r="K247" s="266"/>
      <c r="L247" s="266"/>
      <c r="M247" s="266"/>
      <c r="N247" s="266"/>
      <c r="O247" s="266"/>
      <c r="P247" s="266"/>
      <c r="Q247" s="266"/>
      <c r="R247" s="266"/>
      <c r="S247" s="266"/>
      <c r="T247" s="266"/>
      <c r="U247" s="266"/>
      <c r="V247" s="266"/>
      <c r="W247" s="266"/>
      <c r="X247" s="391"/>
      <c r="Y247" s="266"/>
      <c r="Z247" s="266"/>
      <c r="AA247" s="266"/>
      <c r="AB247" s="266"/>
      <c r="AC247" s="266"/>
      <c r="AD247" s="266"/>
      <c r="AE247" s="266"/>
      <c r="AF247" s="266"/>
      <c r="AG247" s="266"/>
      <c r="AH247" s="266"/>
      <c r="AI247" s="317"/>
    </row>
    <row r="248" spans="1:35" ht="12.75" hidden="1">
      <c r="A248" s="266"/>
      <c r="B248" s="267"/>
      <c r="C248" s="267"/>
      <c r="D248" s="267"/>
      <c r="E248" s="266"/>
      <c r="F248" s="266"/>
      <c r="G248" s="266"/>
      <c r="H248" s="266"/>
      <c r="I248" s="266"/>
      <c r="J248" s="266"/>
      <c r="K248" s="266"/>
      <c r="L248" s="266"/>
      <c r="M248" s="266"/>
      <c r="N248" s="266"/>
      <c r="O248" s="266"/>
      <c r="P248" s="266"/>
      <c r="Q248" s="266"/>
      <c r="R248" s="266"/>
      <c r="S248" s="266"/>
      <c r="T248" s="266"/>
      <c r="U248" s="266"/>
      <c r="V248" s="266"/>
      <c r="W248" s="266"/>
      <c r="X248" s="391"/>
      <c r="Y248" s="266"/>
      <c r="Z248" s="266"/>
      <c r="AA248" s="266"/>
      <c r="AB248" s="266"/>
      <c r="AC248" s="266"/>
      <c r="AD248" s="266"/>
      <c r="AE248" s="266"/>
      <c r="AF248" s="266"/>
      <c r="AG248" s="266"/>
      <c r="AH248" s="266"/>
      <c r="AI248" s="317"/>
    </row>
    <row r="249" spans="6:20" ht="13.5" hidden="1">
      <c r="F249" s="375">
        <f>SUBTOTAL(9,F10:F75)</f>
        <v>13620</v>
      </c>
      <c r="G249" s="375">
        <f>SUBTOTAL(9,G10:G75)</f>
        <v>5030</v>
      </c>
      <c r="H249" s="375">
        <f>SUBTOTAL(9,H10:H75)</f>
        <v>14800</v>
      </c>
      <c r="I249" s="375">
        <f>SUBTOTAL(9,I10:I75)</f>
        <v>25344</v>
      </c>
      <c r="J249" s="375">
        <f>SUBTOTAL(9,J10:J75)</f>
        <v>28800</v>
      </c>
      <c r="M249" s="263">
        <f>SUBTOTAL(9,M10:M72)</f>
        <v>89400.89999999997</v>
      </c>
      <c r="N249" s="263">
        <f>SUBTOTAL(9,N10:N72)</f>
        <v>47613.82999999997</v>
      </c>
      <c r="O249" s="263">
        <f>SUBTOTAL(9,O10:O72)</f>
        <v>2801.029999999998</v>
      </c>
      <c r="P249" s="263">
        <f>SUBTOTAL(9,P10:P72)</f>
        <v>1568.4499999999998</v>
      </c>
      <c r="S249" s="263">
        <f>SUBTOTAL(9,S5:S75)</f>
        <v>239182.55199999985</v>
      </c>
      <c r="T249" s="263">
        <f>SUBTOTAL(9,T5:T75)</f>
        <v>179386.91400000002</v>
      </c>
    </row>
    <row r="250" spans="9:34" ht="13.5" hidden="1">
      <c r="I250" s="263">
        <f>SUBTOTAL(9,F5:I8)</f>
        <v>1012</v>
      </c>
      <c r="J250" s="263">
        <f>I250*3</f>
        <v>3036</v>
      </c>
      <c r="K250" s="263">
        <f>J250*4</f>
        <v>12144</v>
      </c>
      <c r="U250" s="263">
        <f>(SUBTOTAL(9,U12:U75)-U17-U25-U55-U56)*12</f>
        <v>1473600</v>
      </c>
      <c r="W250" s="263">
        <f>SUBTOTAL(9,W12:W75)</f>
        <v>2631000</v>
      </c>
      <c r="X250" s="263">
        <v>808125</v>
      </c>
      <c r="AH250" s="263">
        <f>W250-X250</f>
        <v>1822875</v>
      </c>
    </row>
    <row r="251" spans="6:23" ht="13.5" hidden="1">
      <c r="F251" s="263">
        <f>SUBTOTAL(9,F10:J75)*3</f>
        <v>262782</v>
      </c>
      <c r="G251" s="263">
        <f>F249+G249+H249+I249</f>
        <v>58794</v>
      </c>
      <c r="I251" s="263">
        <f>264*14</f>
        <v>3696</v>
      </c>
      <c r="M251" s="263">
        <f>SUBTOTAL(9,M10:P72)</f>
        <v>141384.2100000001</v>
      </c>
      <c r="U251" s="263">
        <f>(U25+U55+U56)*9</f>
        <v>0</v>
      </c>
      <c r="W251" s="263">
        <f>836250-W250</f>
        <v>-1794750</v>
      </c>
    </row>
    <row r="252" spans="7:21" ht="13.5" hidden="1">
      <c r="G252" s="263">
        <f>G251*3</f>
        <v>176382</v>
      </c>
      <c r="U252" s="263">
        <f>U251+U250</f>
        <v>1473600</v>
      </c>
    </row>
    <row r="253" ht="13.5" hidden="1">
      <c r="I253" s="263">
        <f>SUBTOTAL(9,F10:I75)*3+J249-(F13+G13+I13)*3-J13</f>
        <v>203850</v>
      </c>
    </row>
    <row r="254" ht="13.5" hidden="1"/>
    <row r="255" ht="13.5" hidden="1"/>
    <row r="256" ht="13.5" customHeight="1" hidden="1">
      <c r="AL256" s="394"/>
    </row>
    <row r="257" spans="21:23" ht="13.5" hidden="1">
      <c r="U257" s="263">
        <f>SUMIF(S260:S271,"&gt;=&amp;中层",V260:X271)</f>
        <v>2400</v>
      </c>
      <c r="W257" s="263">
        <f>SUMPRODUCT(SUMIF(S260:X271,AI10,T260:X271))</f>
        <v>2400</v>
      </c>
    </row>
    <row r="258" spans="20:24" ht="13.5" hidden="1">
      <c r="T258" s="263">
        <f>SUMIF(S260:S271,W260,T260:T271)</f>
        <v>400</v>
      </c>
      <c r="V258" s="263">
        <f>SUMIF(U260:U271,S260,V260:V271)</f>
        <v>800</v>
      </c>
      <c r="X258" s="263">
        <f>SUMIF(W260:W271,U260,X260:X271)</f>
        <v>1200</v>
      </c>
    </row>
    <row r="259" ht="13.5" hidden="1"/>
    <row r="260" spans="19:37" ht="13.5" hidden="1">
      <c r="S260" s="263" t="s">
        <v>39</v>
      </c>
      <c r="T260" s="263">
        <v>100</v>
      </c>
      <c r="U260" s="263" t="s">
        <v>39</v>
      </c>
      <c r="V260" s="263">
        <v>200</v>
      </c>
      <c r="W260" s="263" t="s">
        <v>39</v>
      </c>
      <c r="X260" s="263">
        <v>300</v>
      </c>
      <c r="AI260" s="263"/>
      <c r="AK260" s="264"/>
    </row>
    <row r="261" spans="19:37" ht="13.5" hidden="1">
      <c r="S261" s="263" t="s">
        <v>38</v>
      </c>
      <c r="T261" s="263">
        <v>100</v>
      </c>
      <c r="U261" s="263" t="s">
        <v>38</v>
      </c>
      <c r="V261" s="263">
        <v>200</v>
      </c>
      <c r="W261" s="263" t="s">
        <v>38</v>
      </c>
      <c r="X261" s="263">
        <v>300</v>
      </c>
      <c r="AI261" s="263"/>
      <c r="AK261" s="264"/>
    </row>
    <row r="262" spans="19:37" ht="13.5" hidden="1">
      <c r="S262" s="263" t="s">
        <v>285</v>
      </c>
      <c r="T262" s="263">
        <v>100</v>
      </c>
      <c r="U262" s="263" t="s">
        <v>285</v>
      </c>
      <c r="V262" s="263">
        <v>200</v>
      </c>
      <c r="W262" s="263" t="s">
        <v>285</v>
      </c>
      <c r="X262" s="263">
        <v>300</v>
      </c>
      <c r="AI262" s="263"/>
      <c r="AK262" s="264"/>
    </row>
    <row r="263" spans="19:37" ht="13.5" hidden="1">
      <c r="S263" s="263" t="s">
        <v>39</v>
      </c>
      <c r="T263" s="263">
        <v>100</v>
      </c>
      <c r="U263" s="263" t="s">
        <v>39</v>
      </c>
      <c r="V263" s="263">
        <v>200</v>
      </c>
      <c r="W263" s="263" t="s">
        <v>39</v>
      </c>
      <c r="X263" s="263">
        <v>300</v>
      </c>
      <c r="AI263" s="263"/>
      <c r="AK263" s="264"/>
    </row>
    <row r="264" spans="19:37" ht="13.5" hidden="1">
      <c r="S264" s="263" t="s">
        <v>38</v>
      </c>
      <c r="T264" s="263">
        <v>100</v>
      </c>
      <c r="U264" s="263" t="s">
        <v>38</v>
      </c>
      <c r="V264" s="263">
        <v>200</v>
      </c>
      <c r="W264" s="263" t="s">
        <v>38</v>
      </c>
      <c r="X264" s="263">
        <v>300</v>
      </c>
      <c r="AI264" s="263"/>
      <c r="AK264" s="264"/>
    </row>
    <row r="265" spans="19:37" ht="13.5" hidden="1">
      <c r="S265" s="263" t="s">
        <v>285</v>
      </c>
      <c r="T265" s="263">
        <v>100</v>
      </c>
      <c r="U265" s="263" t="s">
        <v>285</v>
      </c>
      <c r="V265" s="263">
        <v>200</v>
      </c>
      <c r="W265" s="263" t="s">
        <v>285</v>
      </c>
      <c r="X265" s="263">
        <v>300</v>
      </c>
      <c r="AI265" s="263"/>
      <c r="AK265" s="264"/>
    </row>
    <row r="266" spans="19:37" ht="13.5" hidden="1">
      <c r="S266" s="263" t="s">
        <v>39</v>
      </c>
      <c r="T266" s="263">
        <v>100</v>
      </c>
      <c r="U266" s="263" t="s">
        <v>39</v>
      </c>
      <c r="V266" s="263">
        <v>200</v>
      </c>
      <c r="W266" s="263" t="s">
        <v>39</v>
      </c>
      <c r="X266" s="263">
        <v>300</v>
      </c>
      <c r="AI266" s="263"/>
      <c r="AK266" s="264"/>
    </row>
    <row r="267" spans="19:37" ht="13.5" hidden="1">
      <c r="S267" s="263" t="s">
        <v>38</v>
      </c>
      <c r="T267" s="263">
        <v>100</v>
      </c>
      <c r="U267" s="263" t="s">
        <v>38</v>
      </c>
      <c r="V267" s="263">
        <v>200</v>
      </c>
      <c r="W267" s="263" t="s">
        <v>38</v>
      </c>
      <c r="X267" s="263">
        <v>300</v>
      </c>
      <c r="AI267" s="263"/>
      <c r="AK267" s="264"/>
    </row>
    <row r="268" spans="19:37" ht="13.5" hidden="1">
      <c r="S268" s="263" t="s">
        <v>285</v>
      </c>
      <c r="T268" s="263">
        <v>100</v>
      </c>
      <c r="U268" s="263" t="s">
        <v>285</v>
      </c>
      <c r="V268" s="263">
        <v>200</v>
      </c>
      <c r="W268" s="263" t="s">
        <v>285</v>
      </c>
      <c r="X268" s="263">
        <v>300</v>
      </c>
      <c r="AI268" s="263"/>
      <c r="AK268" s="264"/>
    </row>
    <row r="269" spans="19:37" ht="13.5" hidden="1">
      <c r="S269" s="263" t="s">
        <v>39</v>
      </c>
      <c r="T269" s="263">
        <v>100</v>
      </c>
      <c r="U269" s="263" t="s">
        <v>39</v>
      </c>
      <c r="V269" s="263">
        <v>200</v>
      </c>
      <c r="W269" s="263" t="s">
        <v>39</v>
      </c>
      <c r="X269" s="263">
        <v>300</v>
      </c>
      <c r="AI269" s="263"/>
      <c r="AK269" s="264"/>
    </row>
    <row r="270" spans="19:37" ht="13.5" hidden="1">
      <c r="S270" s="263" t="s">
        <v>38</v>
      </c>
      <c r="T270" s="263">
        <v>100</v>
      </c>
      <c r="U270" s="263" t="s">
        <v>38</v>
      </c>
      <c r="V270" s="263">
        <v>200</v>
      </c>
      <c r="W270" s="263" t="s">
        <v>38</v>
      </c>
      <c r="X270" s="263">
        <v>300</v>
      </c>
      <c r="AI270" s="263"/>
      <c r="AK270" s="264"/>
    </row>
    <row r="271" spans="19:37" ht="13.5" hidden="1">
      <c r="S271" s="263" t="s">
        <v>285</v>
      </c>
      <c r="T271" s="263">
        <v>100</v>
      </c>
      <c r="U271" s="263" t="s">
        <v>285</v>
      </c>
      <c r="V271" s="263">
        <v>200</v>
      </c>
      <c r="W271" s="263" t="s">
        <v>285</v>
      </c>
      <c r="X271" s="263">
        <v>300</v>
      </c>
      <c r="AI271" s="263"/>
      <c r="AK271" s="264"/>
    </row>
    <row r="272" ht="13.5" hidden="1"/>
    <row r="273" ht="13.5" hidden="1">
      <c r="U273" s="263">
        <f>T260+V260+X260+X263+V263+T263+T266+V266+X266+X269+V269+T269</f>
        <v>2400</v>
      </c>
    </row>
    <row r="274" ht="13.5" hidden="1">
      <c r="C274" s="395">
        <f>A176+A89+A74</f>
        <v>148</v>
      </c>
    </row>
    <row r="275" ht="13.5" hidden="1">
      <c r="E275" s="263">
        <f>E183*12</f>
        <v>5938980</v>
      </c>
    </row>
    <row r="276" ht="13.5" hidden="1"/>
    <row r="277" ht="13.5" hidden="1">
      <c r="E277" s="263">
        <f>SUBTOTAL(9,E10:E96)*12</f>
        <v>9012060</v>
      </c>
    </row>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spans="6:23" ht="13.5">
      <c r="F293" s="263">
        <f>SUM(F183:I183)*12+J183*7</f>
        <v>1182828</v>
      </c>
      <c r="M293" s="263">
        <f>SUM(M183:P183)*12</f>
        <v>2528025.2399999993</v>
      </c>
      <c r="R293" s="263">
        <f>R183*12</f>
        <v>909876</v>
      </c>
      <c r="U293" s="263">
        <f>U183*12</f>
        <v>1407715.7999999998</v>
      </c>
      <c r="W293" s="263">
        <f>W183+16000</f>
        <v>3148660</v>
      </c>
    </row>
  </sheetData>
  <sheetProtection/>
  <autoFilter ref="AI1:AI248"/>
  <mergeCells count="30">
    <mergeCell ref="A1:X1"/>
    <mergeCell ref="F3:J3"/>
    <mergeCell ref="M3:R3"/>
    <mergeCell ref="A9:D9"/>
    <mergeCell ref="A18:D18"/>
    <mergeCell ref="A26:D26"/>
    <mergeCell ref="A32:D32"/>
    <mergeCell ref="A40:D40"/>
    <mergeCell ref="A57:D57"/>
    <mergeCell ref="A64:D64"/>
    <mergeCell ref="A70:D70"/>
    <mergeCell ref="A76:D76"/>
    <mergeCell ref="A77:D77"/>
    <mergeCell ref="C93:D93"/>
    <mergeCell ref="C182:D182"/>
    <mergeCell ref="A183:D183"/>
    <mergeCell ref="E185:F185"/>
    <mergeCell ref="A3:A4"/>
    <mergeCell ref="C3:C4"/>
    <mergeCell ref="D3:D4"/>
    <mergeCell ref="E3:E4"/>
    <mergeCell ref="K3:K4"/>
    <mergeCell ref="L3:L4"/>
    <mergeCell ref="S3:S4"/>
    <mergeCell ref="T3:T4"/>
    <mergeCell ref="U3:U4"/>
    <mergeCell ref="V3:V4"/>
    <mergeCell ref="W3:W4"/>
    <mergeCell ref="X3:X4"/>
    <mergeCell ref="AI3:AI4"/>
  </mergeCells>
  <printOptions/>
  <pageMargins left="0.75" right="0.75" top="1" bottom="1" header="0.51" footer="0.51"/>
  <pageSetup orientation="portrait" paperSize="9"/>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L30"/>
  <sheetViews>
    <sheetView workbookViewId="0" topLeftCell="A1">
      <selection activeCell="O15" sqref="O15"/>
    </sheetView>
  </sheetViews>
  <sheetFormatPr defaultColWidth="9.140625" defaultRowHeight="12.75"/>
  <cols>
    <col min="1" max="1" width="11.28125" style="0" customWidth="1"/>
    <col min="2" max="2" width="29.57421875" style="0" customWidth="1"/>
    <col min="3" max="11" width="13.7109375" style="0" customWidth="1"/>
    <col min="12" max="12" width="17.28125" style="0" customWidth="1"/>
  </cols>
  <sheetData>
    <row r="1" spans="1:12" ht="40.5" customHeight="1">
      <c r="A1" s="23"/>
      <c r="B1" s="23" t="s">
        <v>569</v>
      </c>
      <c r="C1" s="23" t="s">
        <v>569</v>
      </c>
      <c r="D1" s="23" t="s">
        <v>569</v>
      </c>
      <c r="E1" s="23" t="s">
        <v>569</v>
      </c>
      <c r="F1" s="23" t="s">
        <v>569</v>
      </c>
      <c r="G1" s="23" t="s">
        <v>569</v>
      </c>
      <c r="H1" s="23" t="s">
        <v>569</v>
      </c>
      <c r="I1" s="23" t="s">
        <v>569</v>
      </c>
      <c r="J1" s="23" t="s">
        <v>569</v>
      </c>
      <c r="K1" s="23" t="s">
        <v>569</v>
      </c>
      <c r="L1" s="23" t="s">
        <v>569</v>
      </c>
    </row>
    <row r="2" spans="1:12" ht="18" customHeight="1">
      <c r="A2" s="5" t="s">
        <v>287</v>
      </c>
      <c r="B2" s="3"/>
      <c r="C2" s="100"/>
      <c r="D2" s="5"/>
      <c r="E2" s="5"/>
      <c r="F2" s="24" t="s">
        <v>288</v>
      </c>
      <c r="G2" s="16"/>
      <c r="H2" s="16"/>
      <c r="I2" s="16"/>
      <c r="J2" s="16"/>
      <c r="K2" s="16" t="s">
        <v>1</v>
      </c>
      <c r="L2" s="5"/>
    </row>
    <row r="3" spans="1:12" ht="18" customHeight="1">
      <c r="A3" s="9" t="s">
        <v>2</v>
      </c>
      <c r="B3" s="9" t="s">
        <v>525</v>
      </c>
      <c r="C3" s="9" t="s">
        <v>526</v>
      </c>
      <c r="D3" s="9" t="s">
        <v>527</v>
      </c>
      <c r="E3" s="9" t="s">
        <v>386</v>
      </c>
      <c r="F3" s="9" t="s">
        <v>387</v>
      </c>
      <c r="G3" s="9" t="s">
        <v>292</v>
      </c>
      <c r="H3" s="9" t="s">
        <v>292</v>
      </c>
      <c r="I3" s="9" t="s">
        <v>292</v>
      </c>
      <c r="J3" s="9" t="s">
        <v>292</v>
      </c>
      <c r="K3" s="9" t="s">
        <v>292</v>
      </c>
      <c r="L3" s="9" t="s">
        <v>33</v>
      </c>
    </row>
    <row r="4" spans="1:12" ht="18" customHeight="1">
      <c r="A4" s="9" t="s">
        <v>2</v>
      </c>
      <c r="B4" s="9" t="s">
        <v>525</v>
      </c>
      <c r="C4" s="9" t="s">
        <v>526</v>
      </c>
      <c r="D4" s="9" t="s">
        <v>527</v>
      </c>
      <c r="E4" s="9" t="s">
        <v>386</v>
      </c>
      <c r="F4" s="9" t="s">
        <v>387</v>
      </c>
      <c r="G4" s="9" t="s">
        <v>314</v>
      </c>
      <c r="H4" s="116" t="s">
        <v>324</v>
      </c>
      <c r="I4" s="116" t="s">
        <v>331</v>
      </c>
      <c r="J4" s="116" t="s">
        <v>334</v>
      </c>
      <c r="K4" s="116" t="s">
        <v>336</v>
      </c>
      <c r="L4" s="5"/>
    </row>
    <row r="5" spans="1:12" ht="18" customHeight="1">
      <c r="A5" s="9" t="s">
        <v>2</v>
      </c>
      <c r="B5" s="18" t="s">
        <v>280</v>
      </c>
      <c r="C5" s="18" t="s">
        <v>530</v>
      </c>
      <c r="D5" s="18" t="s">
        <v>530</v>
      </c>
      <c r="E5" s="11">
        <f aca="true" t="shared" si="0" ref="E5:K5">SUM(E6:E19)</f>
        <v>0</v>
      </c>
      <c r="F5" s="11">
        <f t="shared" si="0"/>
        <v>0</v>
      </c>
      <c r="G5" s="11">
        <f t="shared" si="0"/>
        <v>0</v>
      </c>
      <c r="H5" s="11">
        <f t="shared" si="0"/>
        <v>0</v>
      </c>
      <c r="I5" s="11">
        <f t="shared" si="0"/>
        <v>0</v>
      </c>
      <c r="J5" s="11">
        <f t="shared" si="0"/>
        <v>0</v>
      </c>
      <c r="K5" s="11">
        <f t="shared" si="0"/>
        <v>0</v>
      </c>
      <c r="L5" s="5"/>
    </row>
    <row r="6" spans="1:12" ht="18" customHeight="1">
      <c r="A6" s="9" t="s">
        <v>531</v>
      </c>
      <c r="B6" s="135">
        <f>'[3]10)并购项目预算明细表'!B6+'[4]10)并购项目预算明细表'!B6+'[5]10)并购项目预算明细表'!B6</f>
        <v>0</v>
      </c>
      <c r="C6" s="135">
        <f>'[3]10)并购项目预算明细表'!C6+'[4]10)并购项目预算明细表'!C6+'[5]10)并购项目预算明细表'!C6</f>
        <v>0</v>
      </c>
      <c r="D6" s="135">
        <f>'[3]10)并购项目预算明细表'!D6+'[4]10)并购项目预算明细表'!D6+'[5]10)并购项目预算明细表'!D6</f>
        <v>0</v>
      </c>
      <c r="E6" s="135">
        <f>'[3]10)并购项目预算明细表'!E6+'[4]10)并购项目预算明细表'!E6+'[5]10)并购项目预算明细表'!E6</f>
        <v>0</v>
      </c>
      <c r="F6" s="135">
        <f>'[3]10)并购项目预算明细表'!F6+'[4]10)并购项目预算明细表'!F6+'[5]10)并购项目预算明细表'!F6</f>
        <v>0</v>
      </c>
      <c r="G6" s="136">
        <f>SUM(H6:K6)</f>
        <v>0</v>
      </c>
      <c r="H6" s="135">
        <f>'[3]10)并购项目预算明细表'!H6+'[4]10)并购项目预算明细表'!H6+'[5]10)并购项目预算明细表'!H6</f>
        <v>0</v>
      </c>
      <c r="I6" s="135">
        <f>'[3]10)并购项目预算明细表'!I6+'[4]10)并购项目预算明细表'!I6+'[5]10)并购项目预算明细表'!I6</f>
        <v>0</v>
      </c>
      <c r="J6" s="135">
        <f>'[3]10)并购项目预算明细表'!J6+'[4]10)并购项目预算明细表'!J6+'[5]10)并购项目预算明细表'!J6</f>
        <v>0</v>
      </c>
      <c r="K6" s="135">
        <f>'[3]10)并购项目预算明细表'!K6+'[4]10)并购项目预算明细表'!K6+'[5]10)并购项目预算明细表'!K6</f>
        <v>0</v>
      </c>
      <c r="L6" s="5"/>
    </row>
    <row r="7" spans="1:12" ht="18" customHeight="1">
      <c r="A7" s="9" t="s">
        <v>532</v>
      </c>
      <c r="B7" s="135">
        <f>'[3]10)并购项目预算明细表'!B7+'[4]10)并购项目预算明细表'!B7+'[5]10)并购项目预算明细表'!B7</f>
        <v>0</v>
      </c>
      <c r="C7" s="135">
        <f>'[3]10)并购项目预算明细表'!C7+'[4]10)并购项目预算明细表'!C7+'[5]10)并购项目预算明细表'!C7</f>
        <v>0</v>
      </c>
      <c r="D7" s="135">
        <f>'[3]10)并购项目预算明细表'!D7+'[4]10)并购项目预算明细表'!D7+'[5]10)并购项目预算明细表'!D7</f>
        <v>0</v>
      </c>
      <c r="E7" s="135">
        <f>'[3]10)并购项目预算明细表'!E7+'[4]10)并购项目预算明细表'!E7+'[5]10)并购项目预算明细表'!E7</f>
        <v>0</v>
      </c>
      <c r="F7" s="135">
        <f>'[3]10)并购项目预算明细表'!F7+'[4]10)并购项目预算明细表'!F7+'[5]10)并购项目预算明细表'!F7</f>
        <v>0</v>
      </c>
      <c r="G7" s="136">
        <f aca="true" t="shared" si="1" ref="G7:G19">SUM(H7:K7)</f>
        <v>0</v>
      </c>
      <c r="H7" s="135">
        <f>'[3]10)并购项目预算明细表'!H7+'[4]10)并购项目预算明细表'!H7+'[5]10)并购项目预算明细表'!H7</f>
        <v>0</v>
      </c>
      <c r="I7" s="135">
        <f>'[3]10)并购项目预算明细表'!I7+'[4]10)并购项目预算明细表'!I7+'[5]10)并购项目预算明细表'!I7</f>
        <v>0</v>
      </c>
      <c r="J7" s="135">
        <f>'[3]10)并购项目预算明细表'!J7+'[4]10)并购项目预算明细表'!J7+'[5]10)并购项目预算明细表'!J7</f>
        <v>0</v>
      </c>
      <c r="K7" s="135">
        <f>'[3]10)并购项目预算明细表'!K7+'[4]10)并购项目预算明细表'!K7+'[5]10)并购项目预算明细表'!K7</f>
        <v>0</v>
      </c>
      <c r="L7" s="5"/>
    </row>
    <row r="8" spans="1:12" ht="18" customHeight="1">
      <c r="A8" s="9" t="s">
        <v>533</v>
      </c>
      <c r="B8" s="135">
        <f>'[3]10)并购项目预算明细表'!B8+'[4]10)并购项目预算明细表'!B8+'[5]10)并购项目预算明细表'!B8</f>
        <v>0</v>
      </c>
      <c r="C8" s="135">
        <f>'[3]10)并购项目预算明细表'!C8+'[4]10)并购项目预算明细表'!C8+'[5]10)并购项目预算明细表'!C8</f>
        <v>0</v>
      </c>
      <c r="D8" s="135">
        <f>'[3]10)并购项目预算明细表'!D8+'[4]10)并购项目预算明细表'!D8+'[5]10)并购项目预算明细表'!D8</f>
        <v>0</v>
      </c>
      <c r="E8" s="135">
        <f>'[3]10)并购项目预算明细表'!E8+'[4]10)并购项目预算明细表'!E8+'[5]10)并购项目预算明细表'!E8</f>
        <v>0</v>
      </c>
      <c r="F8" s="135">
        <f>'[3]10)并购项目预算明细表'!F8+'[4]10)并购项目预算明细表'!F8+'[5]10)并购项目预算明细表'!F8</f>
        <v>0</v>
      </c>
      <c r="G8" s="136">
        <f t="shared" si="1"/>
        <v>0</v>
      </c>
      <c r="H8" s="135">
        <f>'[3]10)并购项目预算明细表'!H8+'[4]10)并购项目预算明细表'!H8+'[5]10)并购项目预算明细表'!H8</f>
        <v>0</v>
      </c>
      <c r="I8" s="135">
        <f>'[3]10)并购项目预算明细表'!I8+'[4]10)并购项目预算明细表'!I8+'[5]10)并购项目预算明细表'!I8</f>
        <v>0</v>
      </c>
      <c r="J8" s="135">
        <f>'[3]10)并购项目预算明细表'!J8+'[4]10)并购项目预算明细表'!J8+'[5]10)并购项目预算明细表'!J8</f>
        <v>0</v>
      </c>
      <c r="K8" s="135">
        <f>'[3]10)并购项目预算明细表'!K8+'[4]10)并购项目预算明细表'!K8+'[5]10)并购项目预算明细表'!K8</f>
        <v>0</v>
      </c>
      <c r="L8" s="5"/>
    </row>
    <row r="9" spans="1:12" ht="18" customHeight="1">
      <c r="A9" s="9" t="s">
        <v>534</v>
      </c>
      <c r="B9" s="135">
        <f>'[3]10)并购项目预算明细表'!B9+'[4]10)并购项目预算明细表'!B9+'[5]10)并购项目预算明细表'!B9</f>
        <v>0</v>
      </c>
      <c r="C9" s="135">
        <f>'[3]10)并购项目预算明细表'!C9+'[4]10)并购项目预算明细表'!C9+'[5]10)并购项目预算明细表'!C9</f>
        <v>0</v>
      </c>
      <c r="D9" s="135">
        <f>'[3]10)并购项目预算明细表'!D9+'[4]10)并购项目预算明细表'!D9+'[5]10)并购项目预算明细表'!D9</f>
        <v>0</v>
      </c>
      <c r="E9" s="135">
        <f>'[3]10)并购项目预算明细表'!E9+'[4]10)并购项目预算明细表'!E9+'[5]10)并购项目预算明细表'!E9</f>
        <v>0</v>
      </c>
      <c r="F9" s="135">
        <f>'[3]10)并购项目预算明细表'!F9+'[4]10)并购项目预算明细表'!F9+'[5]10)并购项目预算明细表'!F9</f>
        <v>0</v>
      </c>
      <c r="G9" s="136">
        <f t="shared" si="1"/>
        <v>0</v>
      </c>
      <c r="H9" s="135">
        <f>'[3]10)并购项目预算明细表'!H9+'[4]10)并购项目预算明细表'!H9+'[5]10)并购项目预算明细表'!H9</f>
        <v>0</v>
      </c>
      <c r="I9" s="135">
        <f>'[3]10)并购项目预算明细表'!I9+'[4]10)并购项目预算明细表'!I9+'[5]10)并购项目预算明细表'!I9</f>
        <v>0</v>
      </c>
      <c r="J9" s="135">
        <f>'[3]10)并购项目预算明细表'!J9+'[4]10)并购项目预算明细表'!J9+'[5]10)并购项目预算明细表'!J9</f>
        <v>0</v>
      </c>
      <c r="K9" s="135">
        <f>'[3]10)并购项目预算明细表'!K9+'[4]10)并购项目预算明细表'!K9+'[5]10)并购项目预算明细表'!K9</f>
        <v>0</v>
      </c>
      <c r="L9" s="5"/>
    </row>
    <row r="10" spans="1:12" ht="18" customHeight="1">
      <c r="A10" s="9" t="s">
        <v>535</v>
      </c>
      <c r="B10" s="135">
        <f>'[3]10)并购项目预算明细表'!B10+'[4]10)并购项目预算明细表'!B10+'[5]10)并购项目预算明细表'!B10</f>
        <v>0</v>
      </c>
      <c r="C10" s="135">
        <f>'[3]10)并购项目预算明细表'!C10+'[4]10)并购项目预算明细表'!C10+'[5]10)并购项目预算明细表'!C10</f>
        <v>0</v>
      </c>
      <c r="D10" s="135">
        <f>'[3]10)并购项目预算明细表'!D10+'[4]10)并购项目预算明细表'!D10+'[5]10)并购项目预算明细表'!D10</f>
        <v>0</v>
      </c>
      <c r="E10" s="135">
        <f>'[3]10)并购项目预算明细表'!E10+'[4]10)并购项目预算明细表'!E10+'[5]10)并购项目预算明细表'!E10</f>
        <v>0</v>
      </c>
      <c r="F10" s="135">
        <f>'[3]10)并购项目预算明细表'!F10+'[4]10)并购项目预算明细表'!F10+'[5]10)并购项目预算明细表'!F10</f>
        <v>0</v>
      </c>
      <c r="G10" s="136">
        <f t="shared" si="1"/>
        <v>0</v>
      </c>
      <c r="H10" s="135">
        <f>'[3]10)并购项目预算明细表'!H10+'[4]10)并购项目预算明细表'!H10+'[5]10)并购项目预算明细表'!H10</f>
        <v>0</v>
      </c>
      <c r="I10" s="135">
        <f>'[3]10)并购项目预算明细表'!I10+'[4]10)并购项目预算明细表'!I10+'[5]10)并购项目预算明细表'!I10</f>
        <v>0</v>
      </c>
      <c r="J10" s="135">
        <f>'[3]10)并购项目预算明细表'!J10+'[4]10)并购项目预算明细表'!J10+'[5]10)并购项目预算明细表'!J10</f>
        <v>0</v>
      </c>
      <c r="K10" s="135">
        <f>'[3]10)并购项目预算明细表'!K10+'[4]10)并购项目预算明细表'!K10+'[5]10)并购项目预算明细表'!K10</f>
        <v>0</v>
      </c>
      <c r="L10" s="5"/>
    </row>
    <row r="11" spans="1:12" ht="18" customHeight="1">
      <c r="A11" s="9" t="s">
        <v>536</v>
      </c>
      <c r="B11" s="135">
        <f>'[3]10)并购项目预算明细表'!B11+'[4]10)并购项目预算明细表'!B11+'[5]10)并购项目预算明细表'!B11</f>
        <v>0</v>
      </c>
      <c r="C11" s="135">
        <f>'[3]10)并购项目预算明细表'!C11+'[4]10)并购项目预算明细表'!C11+'[5]10)并购项目预算明细表'!C11</f>
        <v>0</v>
      </c>
      <c r="D11" s="135">
        <f>'[3]10)并购项目预算明细表'!D11+'[4]10)并购项目预算明细表'!D11+'[5]10)并购项目预算明细表'!D11</f>
        <v>0</v>
      </c>
      <c r="E11" s="135">
        <f>'[3]10)并购项目预算明细表'!E11+'[4]10)并购项目预算明细表'!E11+'[5]10)并购项目预算明细表'!E11</f>
        <v>0</v>
      </c>
      <c r="F11" s="135">
        <f>'[3]10)并购项目预算明细表'!F11+'[4]10)并购项目预算明细表'!F11+'[5]10)并购项目预算明细表'!F11</f>
        <v>0</v>
      </c>
      <c r="G11" s="136">
        <f t="shared" si="1"/>
        <v>0</v>
      </c>
      <c r="H11" s="135">
        <f>'[3]10)并购项目预算明细表'!H11+'[4]10)并购项目预算明细表'!H11+'[5]10)并购项目预算明细表'!H11</f>
        <v>0</v>
      </c>
      <c r="I11" s="135">
        <f>'[3]10)并购项目预算明细表'!I11+'[4]10)并购项目预算明细表'!I11+'[5]10)并购项目预算明细表'!I11</f>
        <v>0</v>
      </c>
      <c r="J11" s="135">
        <f>'[3]10)并购项目预算明细表'!J11+'[4]10)并购项目预算明细表'!J11+'[5]10)并购项目预算明细表'!J11</f>
        <v>0</v>
      </c>
      <c r="K11" s="135">
        <f>'[3]10)并购项目预算明细表'!K11+'[4]10)并购项目预算明细表'!K11+'[5]10)并购项目预算明细表'!K11</f>
        <v>0</v>
      </c>
      <c r="L11" s="5"/>
    </row>
    <row r="12" spans="1:12" ht="18" customHeight="1">
      <c r="A12" s="9" t="s">
        <v>537</v>
      </c>
      <c r="B12" s="135">
        <f>'[3]10)并购项目预算明细表'!B12+'[4]10)并购项目预算明细表'!B12+'[5]10)并购项目预算明细表'!B12</f>
        <v>0</v>
      </c>
      <c r="C12" s="135">
        <f>'[3]10)并购项目预算明细表'!C12+'[4]10)并购项目预算明细表'!C12+'[5]10)并购项目预算明细表'!C12</f>
        <v>0</v>
      </c>
      <c r="D12" s="135">
        <f>'[3]10)并购项目预算明细表'!D12+'[4]10)并购项目预算明细表'!D12+'[5]10)并购项目预算明细表'!D12</f>
        <v>0</v>
      </c>
      <c r="E12" s="135">
        <f>'[3]10)并购项目预算明细表'!E12+'[4]10)并购项目预算明细表'!E12+'[5]10)并购项目预算明细表'!E12</f>
        <v>0</v>
      </c>
      <c r="F12" s="135">
        <f>'[3]10)并购项目预算明细表'!F12+'[4]10)并购项目预算明细表'!F12+'[5]10)并购项目预算明细表'!F12</f>
        <v>0</v>
      </c>
      <c r="G12" s="136">
        <f t="shared" si="1"/>
        <v>0</v>
      </c>
      <c r="H12" s="135">
        <f>'[3]10)并购项目预算明细表'!H12+'[4]10)并购项目预算明细表'!H12+'[5]10)并购项目预算明细表'!H12</f>
        <v>0</v>
      </c>
      <c r="I12" s="135">
        <f>'[3]10)并购项目预算明细表'!I12+'[4]10)并购项目预算明细表'!I12+'[5]10)并购项目预算明细表'!I12</f>
        <v>0</v>
      </c>
      <c r="J12" s="135">
        <f>'[3]10)并购项目预算明细表'!J12+'[4]10)并购项目预算明细表'!J12+'[5]10)并购项目预算明细表'!J12</f>
        <v>0</v>
      </c>
      <c r="K12" s="135">
        <f>'[3]10)并购项目预算明细表'!K12+'[4]10)并购项目预算明细表'!K12+'[5]10)并购项目预算明细表'!K12</f>
        <v>0</v>
      </c>
      <c r="L12" s="5"/>
    </row>
    <row r="13" spans="1:12" ht="18" customHeight="1">
      <c r="A13" s="9" t="s">
        <v>538</v>
      </c>
      <c r="B13" s="135">
        <f>'[3]10)并购项目预算明细表'!B13+'[4]10)并购项目预算明细表'!B13+'[5]10)并购项目预算明细表'!B13</f>
        <v>0</v>
      </c>
      <c r="C13" s="135">
        <f>'[3]10)并购项目预算明细表'!C13+'[4]10)并购项目预算明细表'!C13+'[5]10)并购项目预算明细表'!C13</f>
        <v>0</v>
      </c>
      <c r="D13" s="135">
        <f>'[3]10)并购项目预算明细表'!D13+'[4]10)并购项目预算明细表'!D13+'[5]10)并购项目预算明细表'!D13</f>
        <v>0</v>
      </c>
      <c r="E13" s="135">
        <f>'[3]10)并购项目预算明细表'!E13+'[4]10)并购项目预算明细表'!E13+'[5]10)并购项目预算明细表'!E13</f>
        <v>0</v>
      </c>
      <c r="F13" s="135">
        <f>'[3]10)并购项目预算明细表'!F13+'[4]10)并购项目预算明细表'!F13+'[5]10)并购项目预算明细表'!F13</f>
        <v>0</v>
      </c>
      <c r="G13" s="136">
        <f t="shared" si="1"/>
        <v>0</v>
      </c>
      <c r="H13" s="135">
        <f>'[3]10)并购项目预算明细表'!H13+'[4]10)并购项目预算明细表'!H13+'[5]10)并购项目预算明细表'!H13</f>
        <v>0</v>
      </c>
      <c r="I13" s="135">
        <f>'[3]10)并购项目预算明细表'!I13+'[4]10)并购项目预算明细表'!I13+'[5]10)并购项目预算明细表'!I13</f>
        <v>0</v>
      </c>
      <c r="J13" s="135">
        <f>'[3]10)并购项目预算明细表'!J13+'[4]10)并购项目预算明细表'!J13+'[5]10)并购项目预算明细表'!J13</f>
        <v>0</v>
      </c>
      <c r="K13" s="135">
        <f>'[3]10)并购项目预算明细表'!K13+'[4]10)并购项目预算明细表'!K13+'[5]10)并购项目预算明细表'!K13</f>
        <v>0</v>
      </c>
      <c r="L13" s="5"/>
    </row>
    <row r="14" spans="1:12" ht="18" customHeight="1">
      <c r="A14" s="9" t="s">
        <v>539</v>
      </c>
      <c r="B14" s="135">
        <f>'[3]10)并购项目预算明细表'!B14+'[4]10)并购项目预算明细表'!B14+'[5]10)并购项目预算明细表'!B14</f>
        <v>0</v>
      </c>
      <c r="C14" s="135">
        <f>'[3]10)并购项目预算明细表'!C14+'[4]10)并购项目预算明细表'!C14+'[5]10)并购项目预算明细表'!C14</f>
        <v>0</v>
      </c>
      <c r="D14" s="135">
        <f>'[3]10)并购项目预算明细表'!D14+'[4]10)并购项目预算明细表'!D14+'[5]10)并购项目预算明细表'!D14</f>
        <v>0</v>
      </c>
      <c r="E14" s="135">
        <f>'[3]10)并购项目预算明细表'!E14+'[4]10)并购项目预算明细表'!E14+'[5]10)并购项目预算明细表'!E14</f>
        <v>0</v>
      </c>
      <c r="F14" s="135">
        <f>'[3]10)并购项目预算明细表'!F14+'[4]10)并购项目预算明细表'!F14+'[5]10)并购项目预算明细表'!F14</f>
        <v>0</v>
      </c>
      <c r="G14" s="136">
        <f t="shared" si="1"/>
        <v>0</v>
      </c>
      <c r="H14" s="135">
        <f>'[3]10)并购项目预算明细表'!H14+'[4]10)并购项目预算明细表'!H14+'[5]10)并购项目预算明细表'!H14</f>
        <v>0</v>
      </c>
      <c r="I14" s="135">
        <f>'[3]10)并购项目预算明细表'!I14+'[4]10)并购项目预算明细表'!I14+'[5]10)并购项目预算明细表'!I14</f>
        <v>0</v>
      </c>
      <c r="J14" s="135">
        <f>'[3]10)并购项目预算明细表'!J14+'[4]10)并购项目预算明细表'!J14+'[5]10)并购项目预算明细表'!J14</f>
        <v>0</v>
      </c>
      <c r="K14" s="135">
        <f>'[3]10)并购项目预算明细表'!K14+'[4]10)并购项目预算明细表'!K14+'[5]10)并购项目预算明细表'!K14</f>
        <v>0</v>
      </c>
      <c r="L14" s="5"/>
    </row>
    <row r="15" spans="1:12" ht="18" customHeight="1">
      <c r="A15" s="9" t="s">
        <v>540</v>
      </c>
      <c r="B15" s="135">
        <f>'[3]10)并购项目预算明细表'!B15+'[4]10)并购项目预算明细表'!B15+'[5]10)并购项目预算明细表'!B15</f>
        <v>0</v>
      </c>
      <c r="C15" s="135">
        <f>'[3]10)并购项目预算明细表'!C15+'[4]10)并购项目预算明细表'!C15+'[5]10)并购项目预算明细表'!C15</f>
        <v>0</v>
      </c>
      <c r="D15" s="135">
        <f>'[3]10)并购项目预算明细表'!D15+'[4]10)并购项目预算明细表'!D15+'[5]10)并购项目预算明细表'!D15</f>
        <v>0</v>
      </c>
      <c r="E15" s="135">
        <f>'[3]10)并购项目预算明细表'!E15+'[4]10)并购项目预算明细表'!E15+'[5]10)并购项目预算明细表'!E15</f>
        <v>0</v>
      </c>
      <c r="F15" s="135">
        <f>'[3]10)并购项目预算明细表'!F15+'[4]10)并购项目预算明细表'!F15+'[5]10)并购项目预算明细表'!F15</f>
        <v>0</v>
      </c>
      <c r="G15" s="136">
        <f t="shared" si="1"/>
        <v>0</v>
      </c>
      <c r="H15" s="135">
        <f>'[3]10)并购项目预算明细表'!H15+'[4]10)并购项目预算明细表'!H15+'[5]10)并购项目预算明细表'!H15</f>
        <v>0</v>
      </c>
      <c r="I15" s="135">
        <f>'[3]10)并购项目预算明细表'!I15+'[4]10)并购项目预算明细表'!I15+'[5]10)并购项目预算明细表'!I15</f>
        <v>0</v>
      </c>
      <c r="J15" s="135">
        <f>'[3]10)并购项目预算明细表'!J15+'[4]10)并购项目预算明细表'!J15+'[5]10)并购项目预算明细表'!J15</f>
        <v>0</v>
      </c>
      <c r="K15" s="135">
        <f>'[3]10)并购项目预算明细表'!K15+'[4]10)并购项目预算明细表'!K15+'[5]10)并购项目预算明细表'!K15</f>
        <v>0</v>
      </c>
      <c r="L15" s="5"/>
    </row>
    <row r="16" spans="1:12" ht="18" customHeight="1">
      <c r="A16" s="9" t="s">
        <v>541</v>
      </c>
      <c r="B16" s="135">
        <f>'[3]10)并购项目预算明细表'!B16+'[4]10)并购项目预算明细表'!B16+'[5]10)并购项目预算明细表'!B16</f>
        <v>0</v>
      </c>
      <c r="C16" s="135">
        <f>'[3]10)并购项目预算明细表'!C16+'[4]10)并购项目预算明细表'!C16+'[5]10)并购项目预算明细表'!C16</f>
        <v>0</v>
      </c>
      <c r="D16" s="135">
        <f>'[3]10)并购项目预算明细表'!D16+'[4]10)并购项目预算明细表'!D16+'[5]10)并购项目预算明细表'!D16</f>
        <v>0</v>
      </c>
      <c r="E16" s="135">
        <f>'[3]10)并购项目预算明细表'!E16+'[4]10)并购项目预算明细表'!E16+'[5]10)并购项目预算明细表'!E16</f>
        <v>0</v>
      </c>
      <c r="F16" s="135">
        <f>'[3]10)并购项目预算明细表'!F16+'[4]10)并购项目预算明细表'!F16+'[5]10)并购项目预算明细表'!F16</f>
        <v>0</v>
      </c>
      <c r="G16" s="136">
        <f t="shared" si="1"/>
        <v>0</v>
      </c>
      <c r="H16" s="135">
        <f>'[3]10)并购项目预算明细表'!H16+'[4]10)并购项目预算明细表'!H16+'[5]10)并购项目预算明细表'!H16</f>
        <v>0</v>
      </c>
      <c r="I16" s="135">
        <f>'[3]10)并购项目预算明细表'!I16+'[4]10)并购项目预算明细表'!I16+'[5]10)并购项目预算明细表'!I16</f>
        <v>0</v>
      </c>
      <c r="J16" s="135">
        <f>'[3]10)并购项目预算明细表'!J16+'[4]10)并购项目预算明细表'!J16+'[5]10)并购项目预算明细表'!J16</f>
        <v>0</v>
      </c>
      <c r="K16" s="135">
        <f>'[3]10)并购项目预算明细表'!K16+'[4]10)并购项目预算明细表'!K16+'[5]10)并购项目预算明细表'!K16</f>
        <v>0</v>
      </c>
      <c r="L16" s="5"/>
    </row>
    <row r="17" spans="1:12" ht="18" customHeight="1">
      <c r="A17" s="9" t="s">
        <v>542</v>
      </c>
      <c r="B17" s="135">
        <f>'[3]10)并购项目预算明细表'!B17+'[4]10)并购项目预算明细表'!B17+'[5]10)并购项目预算明细表'!B17</f>
        <v>0</v>
      </c>
      <c r="C17" s="135">
        <f>'[3]10)并购项目预算明细表'!C17+'[4]10)并购项目预算明细表'!C17+'[5]10)并购项目预算明细表'!C17</f>
        <v>0</v>
      </c>
      <c r="D17" s="135">
        <f>'[3]10)并购项目预算明细表'!D17+'[4]10)并购项目预算明细表'!D17+'[5]10)并购项目预算明细表'!D17</f>
        <v>0</v>
      </c>
      <c r="E17" s="135">
        <f>'[3]10)并购项目预算明细表'!E17+'[4]10)并购项目预算明细表'!E17+'[5]10)并购项目预算明细表'!E17</f>
        <v>0</v>
      </c>
      <c r="F17" s="135">
        <f>'[3]10)并购项目预算明细表'!F17+'[4]10)并购项目预算明细表'!F17+'[5]10)并购项目预算明细表'!F17</f>
        <v>0</v>
      </c>
      <c r="G17" s="136">
        <f t="shared" si="1"/>
        <v>0</v>
      </c>
      <c r="H17" s="135">
        <f>'[3]10)并购项目预算明细表'!H17+'[4]10)并购项目预算明细表'!H17+'[5]10)并购项目预算明细表'!H17</f>
        <v>0</v>
      </c>
      <c r="I17" s="135">
        <f>'[3]10)并购项目预算明细表'!I17+'[4]10)并购项目预算明细表'!I17+'[5]10)并购项目预算明细表'!I17</f>
        <v>0</v>
      </c>
      <c r="J17" s="135">
        <f>'[3]10)并购项目预算明细表'!J17+'[4]10)并购项目预算明细表'!J17+'[5]10)并购项目预算明细表'!J17</f>
        <v>0</v>
      </c>
      <c r="K17" s="135">
        <f>'[3]10)并购项目预算明细表'!K17+'[4]10)并购项目预算明细表'!K17+'[5]10)并购项目预算明细表'!K17</f>
        <v>0</v>
      </c>
      <c r="L17" s="5"/>
    </row>
    <row r="18" spans="1:12" ht="18" customHeight="1">
      <c r="A18" s="9" t="s">
        <v>543</v>
      </c>
      <c r="B18" s="135">
        <f>'[3]10)并购项目预算明细表'!B18+'[4]10)并购项目预算明细表'!B18+'[5]10)并购项目预算明细表'!B18</f>
        <v>0</v>
      </c>
      <c r="C18" s="135">
        <f>'[3]10)并购项目预算明细表'!C18+'[4]10)并购项目预算明细表'!C18+'[5]10)并购项目预算明细表'!C18</f>
        <v>0</v>
      </c>
      <c r="D18" s="135">
        <f>'[3]10)并购项目预算明细表'!D18+'[4]10)并购项目预算明细表'!D18+'[5]10)并购项目预算明细表'!D18</f>
        <v>0</v>
      </c>
      <c r="E18" s="135">
        <f>'[3]10)并购项目预算明细表'!E18+'[4]10)并购项目预算明细表'!E18+'[5]10)并购项目预算明细表'!E18</f>
        <v>0</v>
      </c>
      <c r="F18" s="135">
        <f>'[3]10)并购项目预算明细表'!F18+'[4]10)并购项目预算明细表'!F18+'[5]10)并购项目预算明细表'!F18</f>
        <v>0</v>
      </c>
      <c r="G18" s="136">
        <f t="shared" si="1"/>
        <v>0</v>
      </c>
      <c r="H18" s="135">
        <f>'[3]10)并购项目预算明细表'!H18+'[4]10)并购项目预算明细表'!H18+'[5]10)并购项目预算明细表'!H18</f>
        <v>0</v>
      </c>
      <c r="I18" s="135">
        <f>'[3]10)并购项目预算明细表'!I18+'[4]10)并购项目预算明细表'!I18+'[5]10)并购项目预算明细表'!I18</f>
        <v>0</v>
      </c>
      <c r="J18" s="135">
        <f>'[3]10)并购项目预算明细表'!J18+'[4]10)并购项目预算明细表'!J18+'[5]10)并购项目预算明细表'!J18</f>
        <v>0</v>
      </c>
      <c r="K18" s="135">
        <f>'[3]10)并购项目预算明细表'!K18+'[4]10)并购项目预算明细表'!K18+'[5]10)并购项目预算明细表'!K18</f>
        <v>0</v>
      </c>
      <c r="L18" s="5"/>
    </row>
    <row r="19" spans="1:12" ht="18" customHeight="1">
      <c r="A19" s="9" t="s">
        <v>544</v>
      </c>
      <c r="B19" s="135">
        <f>'[3]10)并购项目预算明细表'!B19+'[4]10)并购项目预算明细表'!B19+'[5]10)并购项目预算明细表'!B19</f>
        <v>0</v>
      </c>
      <c r="C19" s="135">
        <f>'[3]10)并购项目预算明细表'!C19+'[4]10)并购项目预算明细表'!C19+'[5]10)并购项目预算明细表'!C19</f>
        <v>0</v>
      </c>
      <c r="D19" s="135">
        <f>'[3]10)并购项目预算明细表'!D19+'[4]10)并购项目预算明细表'!D19+'[5]10)并购项目预算明细表'!D19</f>
        <v>0</v>
      </c>
      <c r="E19" s="135">
        <f>'[3]10)并购项目预算明细表'!E19+'[4]10)并购项目预算明细表'!E19+'[5]10)并购项目预算明细表'!E19</f>
        <v>0</v>
      </c>
      <c r="F19" s="135">
        <f>'[3]10)并购项目预算明细表'!F19+'[4]10)并购项目预算明细表'!F19+'[5]10)并购项目预算明细表'!F19</f>
        <v>0</v>
      </c>
      <c r="G19" s="136">
        <f t="shared" si="1"/>
        <v>0</v>
      </c>
      <c r="H19" s="135">
        <f>'[3]10)并购项目预算明细表'!H19+'[4]10)并购项目预算明细表'!H19+'[5]10)并购项目预算明细表'!H19</f>
        <v>0</v>
      </c>
      <c r="I19" s="135">
        <f>'[3]10)并购项目预算明细表'!I19+'[4]10)并购项目预算明细表'!I19+'[5]10)并购项目预算明细表'!I19</f>
        <v>0</v>
      </c>
      <c r="J19" s="135">
        <f>'[3]10)并购项目预算明细表'!J19+'[4]10)并购项目预算明细表'!J19+'[5]10)并购项目预算明细表'!J19</f>
        <v>0</v>
      </c>
      <c r="K19" s="135">
        <f>'[3]10)并购项目预算明细表'!K19+'[4]10)并购项目预算明细表'!K19+'[5]10)并购项目预算明细表'!K19</f>
        <v>0</v>
      </c>
      <c r="L19" s="5"/>
    </row>
    <row r="20" spans="1:12" ht="18" customHeight="1">
      <c r="A20" s="5"/>
      <c r="B20" s="16"/>
      <c r="C20" s="4" t="s">
        <v>340</v>
      </c>
      <c r="D20" s="5"/>
      <c r="E20" s="16"/>
      <c r="F20" s="16"/>
      <c r="G20" s="16"/>
      <c r="H20" s="4" t="s">
        <v>380</v>
      </c>
      <c r="I20" s="5"/>
      <c r="J20" s="5"/>
      <c r="K20" s="5"/>
      <c r="L20" s="5"/>
    </row>
    <row r="21" spans="1:12" ht="18" customHeight="1">
      <c r="A21" s="16" t="s">
        <v>457</v>
      </c>
      <c r="B21" s="5" t="s">
        <v>570</v>
      </c>
      <c r="C21" s="5" t="s">
        <v>570</v>
      </c>
      <c r="D21" s="5" t="s">
        <v>570</v>
      </c>
      <c r="E21" s="5" t="s">
        <v>570</v>
      </c>
      <c r="F21" s="5" t="s">
        <v>570</v>
      </c>
      <c r="G21" s="5" t="s">
        <v>570</v>
      </c>
      <c r="H21" s="5" t="s">
        <v>570</v>
      </c>
      <c r="I21" s="5" t="s">
        <v>570</v>
      </c>
      <c r="J21" s="5" t="s">
        <v>570</v>
      </c>
      <c r="K21" s="5" t="s">
        <v>570</v>
      </c>
      <c r="L21" s="5" t="s">
        <v>570</v>
      </c>
    </row>
    <row r="22" spans="1:12" ht="18" customHeight="1">
      <c r="A22" s="5"/>
      <c r="B22" s="5" t="s">
        <v>571</v>
      </c>
      <c r="C22" s="5" t="s">
        <v>571</v>
      </c>
      <c r="D22" s="5" t="s">
        <v>571</v>
      </c>
      <c r="E22" s="5" t="s">
        <v>571</v>
      </c>
      <c r="F22" s="5" t="s">
        <v>571</v>
      </c>
      <c r="G22" s="5" t="s">
        <v>571</v>
      </c>
      <c r="H22" s="5" t="s">
        <v>571</v>
      </c>
      <c r="I22" s="5" t="s">
        <v>571</v>
      </c>
      <c r="J22" s="5" t="s">
        <v>571</v>
      </c>
      <c r="K22" s="5" t="s">
        <v>571</v>
      </c>
      <c r="L22" s="5" t="s">
        <v>571</v>
      </c>
    </row>
    <row r="23" spans="1:12" ht="18" customHeight="1">
      <c r="A23" s="5"/>
      <c r="B23" s="5" t="s">
        <v>572</v>
      </c>
      <c r="C23" s="5" t="s">
        <v>572</v>
      </c>
      <c r="D23" s="5" t="s">
        <v>572</v>
      </c>
      <c r="E23" s="5" t="s">
        <v>572</v>
      </c>
      <c r="F23" s="5" t="s">
        <v>572</v>
      </c>
      <c r="G23" s="5" t="s">
        <v>572</v>
      </c>
      <c r="H23" s="5" t="s">
        <v>572</v>
      </c>
      <c r="I23" s="5" t="s">
        <v>572</v>
      </c>
      <c r="J23" s="5" t="s">
        <v>572</v>
      </c>
      <c r="K23" s="5" t="s">
        <v>572</v>
      </c>
      <c r="L23" s="5" t="s">
        <v>572</v>
      </c>
    </row>
    <row r="24" spans="1:12" ht="18" customHeight="1">
      <c r="A24" s="5"/>
      <c r="B24" s="5" t="s">
        <v>573</v>
      </c>
      <c r="C24" s="5" t="s">
        <v>573</v>
      </c>
      <c r="D24" s="5" t="s">
        <v>573</v>
      </c>
      <c r="E24" s="5" t="s">
        <v>573</v>
      </c>
      <c r="F24" s="5" t="s">
        <v>573</v>
      </c>
      <c r="G24" s="5" t="s">
        <v>573</v>
      </c>
      <c r="H24" s="5" t="s">
        <v>573</v>
      </c>
      <c r="I24" s="5" t="s">
        <v>573</v>
      </c>
      <c r="J24" s="5" t="s">
        <v>573</v>
      </c>
      <c r="K24" s="5" t="s">
        <v>573</v>
      </c>
      <c r="L24" s="5" t="s">
        <v>573</v>
      </c>
    </row>
    <row r="25" spans="1:12" ht="18" customHeight="1">
      <c r="A25" s="5"/>
      <c r="B25" s="5" t="s">
        <v>574</v>
      </c>
      <c r="C25" s="5" t="s">
        <v>574</v>
      </c>
      <c r="D25" s="5" t="s">
        <v>574</v>
      </c>
      <c r="E25" s="5" t="s">
        <v>574</v>
      </c>
      <c r="F25" s="5" t="s">
        <v>574</v>
      </c>
      <c r="G25" s="5" t="s">
        <v>574</v>
      </c>
      <c r="H25" s="5" t="s">
        <v>574</v>
      </c>
      <c r="I25" s="5" t="s">
        <v>574</v>
      </c>
      <c r="J25" s="5" t="s">
        <v>574</v>
      </c>
      <c r="K25" s="5" t="s">
        <v>574</v>
      </c>
      <c r="L25" s="5" t="s">
        <v>574</v>
      </c>
    </row>
    <row r="26" spans="1:12" ht="18" customHeight="1">
      <c r="A26" s="5" t="s">
        <v>503</v>
      </c>
      <c r="B26" s="2"/>
      <c r="C26" s="2"/>
      <c r="D26" s="2"/>
      <c r="E26" s="2"/>
      <c r="F26" s="2"/>
      <c r="G26" s="2"/>
      <c r="H26" s="2"/>
      <c r="I26" s="2"/>
      <c r="J26" s="2"/>
      <c r="K26" s="2"/>
      <c r="L26" s="2"/>
    </row>
    <row r="27" spans="1:12" ht="18" customHeight="1">
      <c r="A27" s="5"/>
      <c r="B27" s="2"/>
      <c r="C27" s="2"/>
      <c r="D27" s="2"/>
      <c r="E27" s="2"/>
      <c r="F27" s="2"/>
      <c r="G27" s="2"/>
      <c r="H27" s="2"/>
      <c r="I27" s="2"/>
      <c r="J27" s="2"/>
      <c r="K27" s="2"/>
      <c r="L27" s="2"/>
    </row>
    <row r="28" spans="1:12" ht="18" customHeight="1">
      <c r="A28" s="5"/>
      <c r="B28" s="2"/>
      <c r="C28" s="2"/>
      <c r="D28" s="2"/>
      <c r="E28" s="2"/>
      <c r="F28" s="2"/>
      <c r="G28" s="2"/>
      <c r="H28" s="2"/>
      <c r="I28" s="2"/>
      <c r="J28" s="2"/>
      <c r="K28" s="2"/>
      <c r="L28" s="2"/>
    </row>
    <row r="29" spans="1:12" ht="18" customHeight="1">
      <c r="A29" s="5"/>
      <c r="B29" s="2"/>
      <c r="C29" s="2"/>
      <c r="D29" s="2"/>
      <c r="E29" s="2"/>
      <c r="F29" s="2"/>
      <c r="G29" s="2"/>
      <c r="H29" s="2"/>
      <c r="I29" s="2"/>
      <c r="J29" s="2"/>
      <c r="K29" s="2"/>
      <c r="L29" s="2"/>
    </row>
    <row r="30" spans="1:12" ht="18" customHeight="1">
      <c r="A30" s="5"/>
      <c r="B30" s="2"/>
      <c r="C30" s="2"/>
      <c r="D30" s="2"/>
      <c r="E30" s="2"/>
      <c r="F30" s="2"/>
      <c r="G30" s="2"/>
      <c r="H30" s="2"/>
      <c r="I30" s="2"/>
      <c r="J30" s="2"/>
      <c r="K30" s="2"/>
      <c r="L30" s="2"/>
    </row>
  </sheetData>
  <sheetProtection/>
  <mergeCells count="18">
    <mergeCell ref="B1:L1"/>
    <mergeCell ref="G3:K3"/>
    <mergeCell ref="B21:L21"/>
    <mergeCell ref="B22:L22"/>
    <mergeCell ref="B23:L23"/>
    <mergeCell ref="B24:L24"/>
    <mergeCell ref="B25:L25"/>
    <mergeCell ref="B26:L26"/>
    <mergeCell ref="B27:L27"/>
    <mergeCell ref="B28:L28"/>
    <mergeCell ref="B29:L29"/>
    <mergeCell ref="B30:L30"/>
    <mergeCell ref="A3:A5"/>
    <mergeCell ref="B3:B4"/>
    <mergeCell ref="C3:C4"/>
    <mergeCell ref="D3:D4"/>
    <mergeCell ref="E3:E4"/>
    <mergeCell ref="F3:F4"/>
  </mergeCells>
  <printOptions/>
  <pageMargins left="0.75" right="0.75" top="1" bottom="1" header="0.5" footer="0.5"/>
  <pageSetup fitToHeight="1" fitToWidth="1" horizontalDpi="300" verticalDpi="300" orientation="landscape" paperSize="9" scale="73"/>
</worksheet>
</file>

<file path=xl/worksheets/sheet11.xml><?xml version="1.0" encoding="utf-8"?>
<worksheet xmlns="http://schemas.openxmlformats.org/spreadsheetml/2006/main" xmlns:r="http://schemas.openxmlformats.org/officeDocument/2006/relationships">
  <sheetPr>
    <pageSetUpPr fitToPage="1"/>
  </sheetPr>
  <dimension ref="A1:N14"/>
  <sheetViews>
    <sheetView workbookViewId="0" topLeftCell="A1">
      <selection activeCell="A5" sqref="A5"/>
    </sheetView>
  </sheetViews>
  <sheetFormatPr defaultColWidth="9.140625" defaultRowHeight="12.75"/>
  <cols>
    <col min="1" max="1" width="14.00390625" style="0" customWidth="1"/>
    <col min="2" max="6" width="9.8515625" style="0" customWidth="1"/>
    <col min="7" max="13" width="12.8515625" style="0" customWidth="1"/>
    <col min="14" max="14" width="10.421875" style="0" customWidth="1"/>
  </cols>
  <sheetData>
    <row r="1" spans="1:14" ht="28.5" customHeight="1">
      <c r="A1" s="23" t="s">
        <v>575</v>
      </c>
      <c r="B1" s="23" t="s">
        <v>575</v>
      </c>
      <c r="C1" s="23" t="s">
        <v>575</v>
      </c>
      <c r="D1" s="23" t="s">
        <v>575</v>
      </c>
      <c r="E1" s="23" t="s">
        <v>575</v>
      </c>
      <c r="F1" s="23" t="s">
        <v>575</v>
      </c>
      <c r="G1" s="23" t="s">
        <v>575</v>
      </c>
      <c r="H1" s="23" t="s">
        <v>575</v>
      </c>
      <c r="I1" s="23" t="s">
        <v>575</v>
      </c>
      <c r="J1" s="23" t="s">
        <v>575</v>
      </c>
      <c r="K1" s="23" t="s">
        <v>575</v>
      </c>
      <c r="L1" s="23" t="s">
        <v>575</v>
      </c>
      <c r="M1" s="23" t="s">
        <v>575</v>
      </c>
      <c r="N1" s="23" t="s">
        <v>575</v>
      </c>
    </row>
    <row r="2" spans="1:14" ht="18" customHeight="1">
      <c r="A2" s="5" t="s">
        <v>287</v>
      </c>
      <c r="B2" s="45"/>
      <c r="C2" s="46"/>
      <c r="D2" s="47"/>
      <c r="E2" s="5"/>
      <c r="F2" s="5"/>
      <c r="H2" s="17" t="s">
        <v>288</v>
      </c>
      <c r="I2" s="5"/>
      <c r="J2" s="5"/>
      <c r="K2" s="5"/>
      <c r="L2" s="5"/>
      <c r="M2" s="16" t="s">
        <v>1</v>
      </c>
      <c r="N2" s="5"/>
    </row>
    <row r="3" spans="1:14" ht="18" customHeight="1">
      <c r="A3" s="18" t="s">
        <v>290</v>
      </c>
      <c r="B3" s="9" t="s">
        <v>576</v>
      </c>
      <c r="C3" s="9" t="s">
        <v>577</v>
      </c>
      <c r="D3" s="9" t="s">
        <v>383</v>
      </c>
      <c r="E3" s="9" t="s">
        <v>384</v>
      </c>
      <c r="F3" s="9" t="s">
        <v>385</v>
      </c>
      <c r="G3" s="9" t="s">
        <v>386</v>
      </c>
      <c r="H3" s="9" t="s">
        <v>387</v>
      </c>
      <c r="I3" s="9" t="s">
        <v>388</v>
      </c>
      <c r="J3" s="9" t="s">
        <v>388</v>
      </c>
      <c r="K3" s="9" t="s">
        <v>388</v>
      </c>
      <c r="L3" s="9" t="s">
        <v>388</v>
      </c>
      <c r="M3" s="9" t="s">
        <v>388</v>
      </c>
      <c r="N3" s="9" t="s">
        <v>33</v>
      </c>
    </row>
    <row r="4" spans="1:14" ht="18" customHeight="1">
      <c r="A4" s="18" t="s">
        <v>290</v>
      </c>
      <c r="B4" s="9" t="s">
        <v>576</v>
      </c>
      <c r="C4" s="9" t="s">
        <v>577</v>
      </c>
      <c r="D4" s="9" t="s">
        <v>383</v>
      </c>
      <c r="E4" s="9" t="s">
        <v>384</v>
      </c>
      <c r="F4" s="9" t="s">
        <v>385</v>
      </c>
      <c r="G4" s="9" t="s">
        <v>386</v>
      </c>
      <c r="H4" s="9" t="s">
        <v>387</v>
      </c>
      <c r="I4" s="9" t="s">
        <v>314</v>
      </c>
      <c r="J4" s="9" t="s">
        <v>324</v>
      </c>
      <c r="K4" s="9" t="s">
        <v>331</v>
      </c>
      <c r="L4" s="9" t="s">
        <v>334</v>
      </c>
      <c r="M4" s="9" t="s">
        <v>336</v>
      </c>
      <c r="N4" s="9" t="s">
        <v>33</v>
      </c>
    </row>
    <row r="5" spans="1:14" ht="18" customHeight="1">
      <c r="A5" s="4"/>
      <c r="B5" s="122"/>
      <c r="C5" s="24"/>
      <c r="D5" s="5"/>
      <c r="E5" s="123"/>
      <c r="F5" s="124"/>
      <c r="G5" s="125"/>
      <c r="H5" s="126"/>
      <c r="I5" s="21"/>
      <c r="J5" s="21"/>
      <c r="K5" s="21"/>
      <c r="L5" s="21"/>
      <c r="M5" s="21"/>
      <c r="N5" s="5"/>
    </row>
    <row r="6" spans="1:14" ht="18" customHeight="1">
      <c r="A6" s="127"/>
      <c r="B6" s="4"/>
      <c r="C6" s="24"/>
      <c r="D6" s="5"/>
      <c r="E6" s="128"/>
      <c r="F6" s="129"/>
      <c r="G6" s="129"/>
      <c r="H6" s="130"/>
      <c r="I6" s="21"/>
      <c r="J6" s="21"/>
      <c r="K6" s="21"/>
      <c r="L6" s="21"/>
      <c r="M6" s="21"/>
      <c r="N6" s="5"/>
    </row>
    <row r="7" spans="1:14" ht="18" customHeight="1">
      <c r="A7" s="131"/>
      <c r="B7" s="122"/>
      <c r="C7" s="24"/>
      <c r="D7" s="5"/>
      <c r="E7" s="132"/>
      <c r="F7" s="129"/>
      <c r="G7" s="129"/>
      <c r="H7" s="133"/>
      <c r="I7" s="21"/>
      <c r="J7" s="21"/>
      <c r="K7" s="21"/>
      <c r="L7" s="24"/>
      <c r="M7" s="24"/>
      <c r="N7" s="5"/>
    </row>
    <row r="8" spans="1:14" ht="18" customHeight="1">
      <c r="A8" s="25" t="s">
        <v>389</v>
      </c>
      <c r="B8" s="5"/>
      <c r="C8" s="5"/>
      <c r="D8" s="5"/>
      <c r="E8" s="5"/>
      <c r="F8" s="134"/>
      <c r="G8" s="103">
        <f aca="true" t="shared" si="0" ref="G8:M8">SUM(G5:G7)</f>
        <v>0</v>
      </c>
      <c r="H8" s="11">
        <f t="shared" si="0"/>
        <v>0</v>
      </c>
      <c r="I8" s="11">
        <f t="shared" si="0"/>
        <v>0</v>
      </c>
      <c r="J8" s="11">
        <f t="shared" si="0"/>
        <v>0</v>
      </c>
      <c r="K8" s="11">
        <f t="shared" si="0"/>
        <v>0</v>
      </c>
      <c r="L8" s="11">
        <f t="shared" si="0"/>
        <v>0</v>
      </c>
      <c r="M8" s="11">
        <f t="shared" si="0"/>
        <v>0</v>
      </c>
      <c r="N8" s="5"/>
    </row>
    <row r="9" spans="1:14" ht="18" customHeight="1">
      <c r="A9" s="16"/>
      <c r="B9" s="4" t="s">
        <v>340</v>
      </c>
      <c r="C9" s="5"/>
      <c r="D9" s="5"/>
      <c r="E9" s="5"/>
      <c r="F9" s="5"/>
      <c r="G9" s="5"/>
      <c r="H9" s="5"/>
      <c r="I9" s="16"/>
      <c r="J9" s="4" t="s">
        <v>380</v>
      </c>
      <c r="K9" s="5"/>
      <c r="L9" s="5"/>
      <c r="M9" s="5"/>
      <c r="N9" s="5"/>
    </row>
    <row r="10" spans="1:14" ht="18" customHeight="1">
      <c r="A10" s="5"/>
      <c r="B10" s="5"/>
      <c r="C10" s="5"/>
      <c r="D10" s="5"/>
      <c r="E10" s="5"/>
      <c r="F10" s="5"/>
      <c r="G10" s="5"/>
      <c r="H10" s="5"/>
      <c r="I10" s="5"/>
      <c r="J10" s="5"/>
      <c r="K10" s="5"/>
      <c r="L10" s="5"/>
      <c r="M10" s="5"/>
      <c r="N10" s="5"/>
    </row>
    <row r="11" spans="1:14" ht="18" customHeight="1">
      <c r="A11" s="5" t="s">
        <v>457</v>
      </c>
      <c r="B11" s="5" t="s">
        <v>578</v>
      </c>
      <c r="C11" s="5" t="s">
        <v>578</v>
      </c>
      <c r="D11" s="5" t="s">
        <v>578</v>
      </c>
      <c r="E11" s="5" t="s">
        <v>578</v>
      </c>
      <c r="F11" s="5" t="s">
        <v>578</v>
      </c>
      <c r="G11" s="5" t="s">
        <v>578</v>
      </c>
      <c r="H11" s="5" t="s">
        <v>578</v>
      </c>
      <c r="I11" s="5" t="s">
        <v>578</v>
      </c>
      <c r="J11" s="5" t="s">
        <v>578</v>
      </c>
      <c r="K11" s="5" t="s">
        <v>578</v>
      </c>
      <c r="L11" s="5" t="s">
        <v>578</v>
      </c>
      <c r="M11" s="5" t="s">
        <v>578</v>
      </c>
      <c r="N11" s="5" t="s">
        <v>578</v>
      </c>
    </row>
    <row r="12" spans="1:14" ht="18" customHeight="1">
      <c r="A12" s="5"/>
      <c r="B12" s="5"/>
      <c r="C12" s="5"/>
      <c r="D12" s="5"/>
      <c r="E12" s="5"/>
      <c r="F12" s="5"/>
      <c r="G12" s="5"/>
      <c r="H12" s="5"/>
      <c r="I12" s="5"/>
      <c r="J12" s="5"/>
      <c r="K12" s="5"/>
      <c r="L12" s="5"/>
      <c r="M12" s="5"/>
      <c r="N12" s="5"/>
    </row>
    <row r="13" spans="1:14" ht="18" customHeight="1">
      <c r="A13" s="5"/>
      <c r="B13" s="5"/>
      <c r="C13" s="5"/>
      <c r="D13" s="5"/>
      <c r="E13" s="5"/>
      <c r="F13" s="5"/>
      <c r="G13" s="5"/>
      <c r="H13" s="5"/>
      <c r="I13" s="5"/>
      <c r="J13" s="5"/>
      <c r="K13" s="5"/>
      <c r="L13" s="5"/>
      <c r="M13" s="5"/>
      <c r="N13" s="5"/>
    </row>
    <row r="14" spans="1:14" ht="18" customHeight="1">
      <c r="A14" s="5"/>
      <c r="B14" s="5"/>
      <c r="C14" s="5"/>
      <c r="D14" s="5"/>
      <c r="E14" s="5"/>
      <c r="F14" s="5"/>
      <c r="G14" s="5"/>
      <c r="H14" s="5"/>
      <c r="I14" s="5"/>
      <c r="J14" s="5"/>
      <c r="K14" s="5"/>
      <c r="L14" s="5"/>
      <c r="M14" s="5"/>
      <c r="N14" s="5"/>
    </row>
  </sheetData>
  <sheetProtection/>
  <mergeCells count="13">
    <mergeCell ref="A1:N1"/>
    <mergeCell ref="I3:M3"/>
    <mergeCell ref="B11:N11"/>
    <mergeCell ref="B12:N12"/>
    <mergeCell ref="A3:A4"/>
    <mergeCell ref="B3:B4"/>
    <mergeCell ref="C3:C4"/>
    <mergeCell ref="D3:D4"/>
    <mergeCell ref="E3:E4"/>
    <mergeCell ref="F3:F4"/>
    <mergeCell ref="G3:G4"/>
    <mergeCell ref="H3:H4"/>
    <mergeCell ref="N3:N4"/>
  </mergeCells>
  <printOptions/>
  <pageMargins left="0.75" right="0.75" top="0.98" bottom="0.98" header="0.51" footer="0.51"/>
  <pageSetup fitToHeight="1" fitToWidth="1" horizontalDpi="300" verticalDpi="300" orientation="landscape" paperSize="9" scale="81"/>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L49"/>
  <sheetViews>
    <sheetView workbookViewId="0" topLeftCell="A8">
      <selection activeCell="O18" sqref="O18"/>
    </sheetView>
  </sheetViews>
  <sheetFormatPr defaultColWidth="9.140625" defaultRowHeight="12.75"/>
  <cols>
    <col min="1" max="1" width="11.7109375" style="0" customWidth="1"/>
    <col min="2" max="2" width="32.28125" style="0" customWidth="1"/>
    <col min="3" max="3" width="18.28125" style="0" customWidth="1"/>
    <col min="4" max="6" width="16.7109375" style="0" customWidth="1"/>
    <col min="7" max="7" width="16.28125" style="0" customWidth="1"/>
    <col min="8" max="12" width="13.140625" style="0" customWidth="1"/>
  </cols>
  <sheetData>
    <row r="1" spans="1:12" ht="40.5" customHeight="1">
      <c r="A1" s="23"/>
      <c r="B1" s="23" t="s">
        <v>579</v>
      </c>
      <c r="C1" s="23" t="s">
        <v>580</v>
      </c>
      <c r="D1" s="23" t="s">
        <v>580</v>
      </c>
      <c r="E1" s="23" t="s">
        <v>580</v>
      </c>
      <c r="F1" s="23" t="s">
        <v>580</v>
      </c>
      <c r="G1" s="23" t="s">
        <v>580</v>
      </c>
      <c r="H1" s="23" t="s">
        <v>580</v>
      </c>
      <c r="I1" s="23" t="s">
        <v>580</v>
      </c>
      <c r="J1" s="23" t="s">
        <v>580</v>
      </c>
      <c r="K1" s="23" t="s">
        <v>580</v>
      </c>
      <c r="L1" s="23" t="s">
        <v>580</v>
      </c>
    </row>
    <row r="2" spans="1:12" ht="18" customHeight="1">
      <c r="A2" s="5" t="s">
        <v>287</v>
      </c>
      <c r="B2" s="3"/>
      <c r="C2" s="100"/>
      <c r="D2" s="5"/>
      <c r="E2" s="5"/>
      <c r="F2" s="24" t="s">
        <v>288</v>
      </c>
      <c r="G2" s="16"/>
      <c r="H2" s="16"/>
      <c r="I2" s="16"/>
      <c r="J2" s="16"/>
      <c r="K2" s="16" t="s">
        <v>1</v>
      </c>
      <c r="L2" s="5"/>
    </row>
    <row r="3" spans="1:12" ht="23.25" customHeight="1">
      <c r="A3" s="5" t="s">
        <v>581</v>
      </c>
      <c r="B3" s="5" t="s">
        <v>581</v>
      </c>
      <c r="C3" s="5" t="s">
        <v>581</v>
      </c>
      <c r="D3" s="5" t="s">
        <v>581</v>
      </c>
      <c r="E3" s="5" t="s">
        <v>581</v>
      </c>
      <c r="F3" s="5" t="s">
        <v>581</v>
      </c>
      <c r="G3" s="5" t="s">
        <v>581</v>
      </c>
      <c r="H3" s="5" t="s">
        <v>581</v>
      </c>
      <c r="I3" s="5" t="s">
        <v>581</v>
      </c>
      <c r="J3" s="5" t="s">
        <v>581</v>
      </c>
      <c r="K3" s="5" t="s">
        <v>581</v>
      </c>
      <c r="L3" s="5" t="s">
        <v>581</v>
      </c>
    </row>
    <row r="4" spans="1:12" ht="18" customHeight="1">
      <c r="A4" s="9" t="s">
        <v>2</v>
      </c>
      <c r="B4" s="9" t="s">
        <v>582</v>
      </c>
      <c r="C4" s="9" t="s">
        <v>583</v>
      </c>
      <c r="D4" s="9" t="s">
        <v>584</v>
      </c>
      <c r="E4" s="9" t="s">
        <v>585</v>
      </c>
      <c r="F4" s="9" t="s">
        <v>586</v>
      </c>
      <c r="G4" s="9" t="s">
        <v>292</v>
      </c>
      <c r="H4" s="9" t="s">
        <v>292</v>
      </c>
      <c r="I4" s="9" t="s">
        <v>292</v>
      </c>
      <c r="J4" s="9" t="s">
        <v>292</v>
      </c>
      <c r="K4" s="9" t="s">
        <v>292</v>
      </c>
      <c r="L4" s="9" t="s">
        <v>33</v>
      </c>
    </row>
    <row r="5" spans="1:12" ht="18" customHeight="1">
      <c r="A5" s="9" t="s">
        <v>2</v>
      </c>
      <c r="B5" s="9" t="s">
        <v>582</v>
      </c>
      <c r="C5" s="9" t="s">
        <v>583</v>
      </c>
      <c r="D5" s="9" t="s">
        <v>584</v>
      </c>
      <c r="E5" s="9" t="s">
        <v>585</v>
      </c>
      <c r="F5" s="9" t="s">
        <v>586</v>
      </c>
      <c r="G5" s="9" t="s">
        <v>314</v>
      </c>
      <c r="H5" s="116" t="s">
        <v>324</v>
      </c>
      <c r="I5" s="116" t="s">
        <v>331</v>
      </c>
      <c r="J5" s="116" t="s">
        <v>334</v>
      </c>
      <c r="K5" s="116" t="s">
        <v>336</v>
      </c>
      <c r="L5" s="5"/>
    </row>
    <row r="6" spans="1:12" ht="18" customHeight="1">
      <c r="A6" s="9" t="s">
        <v>2</v>
      </c>
      <c r="B6" s="18" t="s">
        <v>280</v>
      </c>
      <c r="C6" s="18" t="s">
        <v>530</v>
      </c>
      <c r="D6" s="18" t="s">
        <v>530</v>
      </c>
      <c r="E6" s="18" t="s">
        <v>530</v>
      </c>
      <c r="F6" s="11">
        <f aca="true" t="shared" si="0" ref="F6:K6">SUM(F7:F16)</f>
        <v>0</v>
      </c>
      <c r="G6" s="11">
        <f t="shared" si="0"/>
        <v>0</v>
      </c>
      <c r="H6" s="11">
        <f t="shared" si="0"/>
        <v>0</v>
      </c>
      <c r="I6" s="11">
        <f t="shared" si="0"/>
        <v>0</v>
      </c>
      <c r="J6" s="11">
        <f t="shared" si="0"/>
        <v>0</v>
      </c>
      <c r="K6" s="11">
        <f t="shared" si="0"/>
        <v>0</v>
      </c>
      <c r="L6" s="5"/>
    </row>
    <row r="7" spans="1:12" ht="18" customHeight="1">
      <c r="A7" s="9" t="s">
        <v>531</v>
      </c>
      <c r="B7" s="5"/>
      <c r="C7" s="5"/>
      <c r="D7" s="5"/>
      <c r="E7" s="5"/>
      <c r="F7" s="117"/>
      <c r="G7" s="11">
        <f>SUM(H7:K7)</f>
        <v>0</v>
      </c>
      <c r="H7" s="12"/>
      <c r="I7" s="12"/>
      <c r="J7" s="12"/>
      <c r="K7" s="12"/>
      <c r="L7" s="5"/>
    </row>
    <row r="8" spans="1:12" ht="18" customHeight="1">
      <c r="A8" s="9" t="s">
        <v>532</v>
      </c>
      <c r="B8" s="5"/>
      <c r="C8" s="5"/>
      <c r="D8" s="5"/>
      <c r="E8" s="5"/>
      <c r="F8" s="117"/>
      <c r="G8" s="11">
        <f aca="true" t="shared" si="1" ref="G8:G16">SUM(H8:K8)</f>
        <v>0</v>
      </c>
      <c r="H8" s="12"/>
      <c r="I8" s="12"/>
      <c r="J8" s="12"/>
      <c r="K8" s="12"/>
      <c r="L8" s="5"/>
    </row>
    <row r="9" spans="1:12" ht="18" customHeight="1">
      <c r="A9" s="9" t="s">
        <v>533</v>
      </c>
      <c r="B9" s="5"/>
      <c r="C9" s="5"/>
      <c r="D9" s="5"/>
      <c r="E9" s="5"/>
      <c r="F9" s="117"/>
      <c r="G9" s="11">
        <f t="shared" si="1"/>
        <v>0</v>
      </c>
      <c r="H9" s="12"/>
      <c r="I9" s="12"/>
      <c r="J9" s="12"/>
      <c r="K9" s="12"/>
      <c r="L9" s="5"/>
    </row>
    <row r="10" spans="1:12" ht="18" customHeight="1">
      <c r="A10" s="9" t="s">
        <v>534</v>
      </c>
      <c r="B10" s="5"/>
      <c r="C10" s="5"/>
      <c r="D10" s="5"/>
      <c r="E10" s="5"/>
      <c r="F10" s="117"/>
      <c r="G10" s="11">
        <f t="shared" si="1"/>
        <v>0</v>
      </c>
      <c r="H10" s="12"/>
      <c r="I10" s="12"/>
      <c r="J10" s="12"/>
      <c r="K10" s="12"/>
      <c r="L10" s="5"/>
    </row>
    <row r="11" spans="1:12" ht="18" customHeight="1">
      <c r="A11" s="9" t="s">
        <v>535</v>
      </c>
      <c r="B11" s="5"/>
      <c r="C11" s="5"/>
      <c r="D11" s="5"/>
      <c r="E11" s="5"/>
      <c r="F11" s="117"/>
      <c r="G11" s="11">
        <f t="shared" si="1"/>
        <v>0</v>
      </c>
      <c r="H11" s="12"/>
      <c r="I11" s="12"/>
      <c r="J11" s="12"/>
      <c r="K11" s="12"/>
      <c r="L11" s="5"/>
    </row>
    <row r="12" spans="1:12" ht="18" customHeight="1">
      <c r="A12" s="9" t="s">
        <v>536</v>
      </c>
      <c r="B12" s="5"/>
      <c r="C12" s="5"/>
      <c r="D12" s="5"/>
      <c r="E12" s="5"/>
      <c r="F12" s="117"/>
      <c r="G12" s="11">
        <f t="shared" si="1"/>
        <v>0</v>
      </c>
      <c r="H12" s="12"/>
      <c r="I12" s="12"/>
      <c r="J12" s="12"/>
      <c r="K12" s="12"/>
      <c r="L12" s="5"/>
    </row>
    <row r="13" spans="1:12" ht="18" customHeight="1">
      <c r="A13" s="9" t="s">
        <v>537</v>
      </c>
      <c r="B13" s="5"/>
      <c r="C13" s="5"/>
      <c r="D13" s="5"/>
      <c r="E13" s="5"/>
      <c r="F13" s="117"/>
      <c r="G13" s="11">
        <f t="shared" si="1"/>
        <v>0</v>
      </c>
      <c r="H13" s="12"/>
      <c r="I13" s="12"/>
      <c r="J13" s="12"/>
      <c r="K13" s="12"/>
      <c r="L13" s="5"/>
    </row>
    <row r="14" spans="1:12" ht="18" customHeight="1">
      <c r="A14" s="9" t="s">
        <v>538</v>
      </c>
      <c r="B14" s="5"/>
      <c r="C14" s="5"/>
      <c r="D14" s="5"/>
      <c r="E14" s="5"/>
      <c r="F14" s="117"/>
      <c r="G14" s="11">
        <f t="shared" si="1"/>
        <v>0</v>
      </c>
      <c r="H14" s="12"/>
      <c r="I14" s="12"/>
      <c r="J14" s="12"/>
      <c r="K14" s="12"/>
      <c r="L14" s="5"/>
    </row>
    <row r="15" spans="1:12" ht="18" customHeight="1">
      <c r="A15" s="9" t="s">
        <v>539</v>
      </c>
      <c r="B15" s="5"/>
      <c r="C15" s="5"/>
      <c r="D15" s="5"/>
      <c r="E15" s="5"/>
      <c r="F15" s="117"/>
      <c r="G15" s="11">
        <f t="shared" si="1"/>
        <v>0</v>
      </c>
      <c r="H15" s="12"/>
      <c r="I15" s="12"/>
      <c r="J15" s="12"/>
      <c r="K15" s="12"/>
      <c r="L15" s="5"/>
    </row>
    <row r="16" spans="1:12" ht="18" customHeight="1">
      <c r="A16" s="9" t="s">
        <v>540</v>
      </c>
      <c r="B16" s="5"/>
      <c r="C16" s="5"/>
      <c r="D16" s="5"/>
      <c r="E16" s="5"/>
      <c r="F16" s="117"/>
      <c r="G16" s="11">
        <f t="shared" si="1"/>
        <v>0</v>
      </c>
      <c r="H16" s="12"/>
      <c r="I16" s="12"/>
      <c r="J16" s="12"/>
      <c r="K16" s="12"/>
      <c r="L16" s="5"/>
    </row>
    <row r="17" spans="1:12" ht="5.25" customHeight="1">
      <c r="A17" s="5"/>
      <c r="B17" s="16"/>
      <c r="C17" s="5"/>
      <c r="D17" s="5"/>
      <c r="E17" s="16"/>
      <c r="F17" s="16"/>
      <c r="G17" s="5"/>
      <c r="H17" s="5"/>
      <c r="I17" s="5"/>
      <c r="J17" s="5"/>
      <c r="K17" s="5"/>
      <c r="L17" s="5"/>
    </row>
    <row r="18" spans="1:12" ht="23.25" customHeight="1">
      <c r="A18" s="5" t="s">
        <v>587</v>
      </c>
      <c r="B18" s="5" t="s">
        <v>587</v>
      </c>
      <c r="C18" s="5" t="s">
        <v>587</v>
      </c>
      <c r="D18" s="5" t="s">
        <v>587</v>
      </c>
      <c r="E18" s="5" t="s">
        <v>587</v>
      </c>
      <c r="F18" s="5" t="s">
        <v>587</v>
      </c>
      <c r="G18" s="5" t="s">
        <v>587</v>
      </c>
      <c r="H18" s="5" t="s">
        <v>587</v>
      </c>
      <c r="I18" s="5" t="s">
        <v>587</v>
      </c>
      <c r="J18" s="5" t="s">
        <v>587</v>
      </c>
      <c r="K18" s="5" t="s">
        <v>587</v>
      </c>
      <c r="L18" s="5" t="s">
        <v>587</v>
      </c>
    </row>
    <row r="19" spans="1:12" ht="16.5" customHeight="1">
      <c r="A19" s="9" t="s">
        <v>2</v>
      </c>
      <c r="B19" s="9" t="s">
        <v>582</v>
      </c>
      <c r="C19" s="9" t="s">
        <v>583</v>
      </c>
      <c r="D19" s="9" t="s">
        <v>584</v>
      </c>
      <c r="E19" s="9" t="s">
        <v>588</v>
      </c>
      <c r="F19" s="9" t="s">
        <v>586</v>
      </c>
      <c r="G19" s="9" t="s">
        <v>554</v>
      </c>
      <c r="H19" s="9" t="s">
        <v>33</v>
      </c>
      <c r="I19" s="9" t="s">
        <v>33</v>
      </c>
      <c r="J19" s="9" t="s">
        <v>33</v>
      </c>
      <c r="K19" s="9" t="s">
        <v>33</v>
      </c>
      <c r="L19" s="9" t="s">
        <v>33</v>
      </c>
    </row>
    <row r="20" spans="1:12" ht="16.5" customHeight="1">
      <c r="A20" s="9" t="s">
        <v>2</v>
      </c>
      <c r="B20" s="9" t="s">
        <v>582</v>
      </c>
      <c r="C20" s="9" t="s">
        <v>583</v>
      </c>
      <c r="D20" s="9" t="s">
        <v>584</v>
      </c>
      <c r="E20" s="9" t="s">
        <v>588</v>
      </c>
      <c r="F20" s="9" t="s">
        <v>586</v>
      </c>
      <c r="G20" s="9" t="s">
        <v>554</v>
      </c>
      <c r="H20" s="9" t="s">
        <v>33</v>
      </c>
      <c r="I20" s="9" t="s">
        <v>33</v>
      </c>
      <c r="J20" s="9" t="s">
        <v>33</v>
      </c>
      <c r="K20" s="9" t="s">
        <v>33</v>
      </c>
      <c r="L20" s="9" t="s">
        <v>33</v>
      </c>
    </row>
    <row r="21" spans="1:12" ht="16.5" customHeight="1">
      <c r="A21" s="9" t="s">
        <v>2</v>
      </c>
      <c r="B21" s="18" t="s">
        <v>280</v>
      </c>
      <c r="C21" s="18" t="s">
        <v>530</v>
      </c>
      <c r="D21" s="18" t="s">
        <v>530</v>
      </c>
      <c r="E21" s="18" t="s">
        <v>530</v>
      </c>
      <c r="F21" s="118">
        <f>SUM(F22:F36)</f>
        <v>31</v>
      </c>
      <c r="G21" s="119">
        <f>SUM(G22:G36)</f>
        <v>3257313.71</v>
      </c>
      <c r="H21" s="12"/>
      <c r="I21" s="12"/>
      <c r="J21" s="12"/>
      <c r="K21" s="12"/>
      <c r="L21" s="12"/>
    </row>
    <row r="22" spans="1:12" ht="16.5" customHeight="1">
      <c r="A22" s="9" t="s">
        <v>531</v>
      </c>
      <c r="B22" s="120" t="str">
        <f>'[3]12)公务用车预算明细表'!B22</f>
        <v>大众途威</v>
      </c>
      <c r="C22" s="120" t="str">
        <f>'[3]12)公务用车预算明细表'!C22</f>
        <v>WVGEH35N</v>
      </c>
      <c r="D22" s="120">
        <f>'[3]12)公务用车预算明细表'!D22</f>
        <v>2</v>
      </c>
      <c r="E22" s="121">
        <f>'[3]12)公务用车预算明细表'!E22</f>
        <v>42391</v>
      </c>
      <c r="F22" s="120">
        <f>'[3]12)公务用车预算明细表'!F22</f>
        <v>1</v>
      </c>
      <c r="G22" s="119">
        <f>'[3]12)公务用车预算明细表'!G22</f>
        <v>335000</v>
      </c>
      <c r="H22" s="12"/>
      <c r="I22" s="12"/>
      <c r="J22" s="12"/>
      <c r="K22" s="12"/>
      <c r="L22" s="12"/>
    </row>
    <row r="23" spans="1:12" ht="16.5" customHeight="1">
      <c r="A23" s="9" t="s">
        <v>532</v>
      </c>
      <c r="B23" s="120" t="str">
        <f>'[3]12)公务用车预算明细表'!B23</f>
        <v>别克牌</v>
      </c>
      <c r="C23" s="120" t="str">
        <f>'[3]12)公务用车预算明细表'!C23</f>
        <v>SGM6475DAX3</v>
      </c>
      <c r="D23" s="120">
        <f>'[3]12)公务用车预算明细表'!D23</f>
        <v>2</v>
      </c>
      <c r="E23" s="121">
        <f>'[3]12)公务用车预算明细表'!E23</f>
        <v>42710</v>
      </c>
      <c r="F23" s="120">
        <f>'[3]12)公务用车预算明细表'!F23</f>
        <v>1</v>
      </c>
      <c r="G23" s="119">
        <f>'[3]12)公务用车预算明细表'!G23</f>
        <v>258900</v>
      </c>
      <c r="H23" s="12"/>
      <c r="I23" s="12"/>
      <c r="J23" s="12"/>
      <c r="K23" s="12"/>
      <c r="L23" s="12"/>
    </row>
    <row r="24" spans="1:12" ht="16.5" customHeight="1">
      <c r="A24" s="9" t="s">
        <v>533</v>
      </c>
      <c r="B24" s="120" t="str">
        <f>'[3]12)公务用车预算明细表'!B24</f>
        <v>大众牌</v>
      </c>
      <c r="C24" s="120" t="str">
        <f>'[3]12)公务用车预算明细表'!C24</f>
        <v>FV7166BABBG</v>
      </c>
      <c r="D24" s="120">
        <f>'[3]12)公务用车预算明细表'!D24</f>
        <v>1.6</v>
      </c>
      <c r="E24" s="121">
        <f>'[3]12)公务用车预算明细表'!E24</f>
        <v>42712</v>
      </c>
      <c r="F24" s="120">
        <f>'[3]12)公务用车预算明细表'!F24</f>
        <v>1</v>
      </c>
      <c r="G24" s="119">
        <f>'[3]12)公务用车预算明细表'!G24</f>
        <v>137800</v>
      </c>
      <c r="H24" s="12"/>
      <c r="I24" s="12"/>
      <c r="J24" s="12"/>
      <c r="K24" s="12"/>
      <c r="L24" s="12"/>
    </row>
    <row r="25" spans="1:12" ht="18" customHeight="1">
      <c r="A25" s="9" t="s">
        <v>534</v>
      </c>
      <c r="B25" s="120" t="str">
        <f>'[3]12)公务用车预算明细表'!B25</f>
        <v>丰田牌</v>
      </c>
      <c r="C25" s="120" t="str">
        <f>'[3]12)公务用车预算明细表'!C25</f>
        <v>GTM6480ASL</v>
      </c>
      <c r="D25" s="120">
        <f>'[3]12)公务用车预算明细表'!D25</f>
        <v>2.7</v>
      </c>
      <c r="E25" s="121">
        <f>'[3]12)公务用车预算明细表'!E25</f>
        <v>40894</v>
      </c>
      <c r="F25" s="120">
        <f>'[3]12)公务用车预算明细表'!F25</f>
        <v>1</v>
      </c>
      <c r="G25" s="119">
        <f>'[3]12)公务用车预算明细表'!G25</f>
        <v>385200</v>
      </c>
      <c r="H25" s="12"/>
      <c r="I25" s="12"/>
      <c r="J25" s="12"/>
      <c r="K25" s="12"/>
      <c r="L25" s="12"/>
    </row>
    <row r="26" spans="1:12" ht="18" customHeight="1">
      <c r="A26" s="9" t="s">
        <v>535</v>
      </c>
      <c r="B26" s="120" t="str">
        <f>'[3]12)公务用车预算明细表'!B26</f>
        <v>别克牌</v>
      </c>
      <c r="C26" s="120" t="str">
        <f>'[3]12)公务用车预算明细表'!C26</f>
        <v>SGM7243ATA</v>
      </c>
      <c r="D26" s="120">
        <f>'[3]12)公务用车预算明细表'!D26</f>
        <v>2.4</v>
      </c>
      <c r="E26" s="121">
        <f>'[3]12)公务用车预算明细表'!E26</f>
        <v>40980</v>
      </c>
      <c r="F26" s="120">
        <f>'[3]12)公务用车预算明细表'!F26</f>
        <v>1</v>
      </c>
      <c r="G26" s="119">
        <f>'[3]12)公务用车预算明细表'!G26</f>
        <v>251200</v>
      </c>
      <c r="H26" s="12"/>
      <c r="I26" s="12"/>
      <c r="J26" s="12"/>
      <c r="K26" s="12"/>
      <c r="L26" s="12"/>
    </row>
    <row r="27" spans="1:12" ht="18" customHeight="1">
      <c r="A27" s="9" t="s">
        <v>536</v>
      </c>
      <c r="B27" s="120" t="str">
        <f>'[5]12)公务用车预算明细表'!B22</f>
        <v>长城皮卡车</v>
      </c>
      <c r="C27" s="120" t="str">
        <f>'[5]12)公务用车预算明细表'!C22</f>
        <v>商用炮</v>
      </c>
      <c r="D27" s="120">
        <f>'[5]12)公务用车预算明细表'!D22</f>
        <v>0</v>
      </c>
      <c r="E27" s="121">
        <f>'[5]12)公务用车预算明细表'!E22</f>
        <v>44470</v>
      </c>
      <c r="F27" s="120">
        <f>'[5]12)公务用车预算明细表'!F22</f>
        <v>1</v>
      </c>
      <c r="G27" s="119">
        <f>'[5]12)公务用车预算明细表'!G22</f>
        <v>135539.07</v>
      </c>
      <c r="H27" s="12"/>
      <c r="I27" s="12"/>
      <c r="J27" s="12"/>
      <c r="K27" s="12"/>
      <c r="L27" s="12"/>
    </row>
    <row r="28" spans="1:12" ht="18" customHeight="1">
      <c r="A28" s="9" t="s">
        <v>537</v>
      </c>
      <c r="B28" s="120" t="str">
        <f>'[4]12)公务用车预算明细表'!B22</f>
        <v>琼A38986</v>
      </c>
      <c r="C28" s="120" t="str">
        <f>'[4]12)公务用车预算明细表'!C22</f>
        <v>LGAX2A120E1092854</v>
      </c>
      <c r="D28" s="120" t="str">
        <f>'[4]12)公务用车预算明细表'!D22</f>
        <v>4500ml</v>
      </c>
      <c r="E28" s="120" t="str">
        <f>'[4]12)公务用车预算明细表'!E22</f>
        <v>2014.12.02</v>
      </c>
      <c r="F28" s="120">
        <f>'[4]12)公务用车预算明细表'!F22</f>
        <v>1</v>
      </c>
      <c r="G28" s="119">
        <f>'[4]12)公务用车预算明细表'!G22</f>
        <v>0</v>
      </c>
      <c r="H28" s="12" t="str">
        <f>'[4]12)公务用车预算明细表'!H22</f>
        <v>农场调入</v>
      </c>
      <c r="I28" s="12"/>
      <c r="J28" s="12"/>
      <c r="K28" s="12"/>
      <c r="L28" s="12"/>
    </row>
    <row r="29" spans="1:12" ht="18" customHeight="1">
      <c r="A29" s="9" t="s">
        <v>538</v>
      </c>
      <c r="B29" s="120" t="str">
        <f>'[4]12)公务用车预算明细表'!B23</f>
        <v>琼A38982</v>
      </c>
      <c r="C29" s="120" t="str">
        <f>'[4]12)公务用车预算明细表'!C23</f>
        <v>ZJV5121ZYSHBE</v>
      </c>
      <c r="D29" s="120" t="str">
        <f>'[4]12)公务用车预算明细表'!D23</f>
        <v>4500ml</v>
      </c>
      <c r="E29" s="120" t="str">
        <f>'[4]12)公务用车预算明细表'!E23</f>
        <v>2014.12.02</v>
      </c>
      <c r="F29" s="120">
        <f>'[4]12)公务用车预算明细表'!F23</f>
        <v>1</v>
      </c>
      <c r="G29" s="119">
        <f>'[4]12)公务用车预算明细表'!G23</f>
        <v>0</v>
      </c>
      <c r="H29" s="12" t="str">
        <f>'[4]12)公务用车预算明细表'!H23</f>
        <v>农场调入</v>
      </c>
      <c r="I29" s="12"/>
      <c r="J29" s="12"/>
      <c r="K29" s="12"/>
      <c r="L29" s="12"/>
    </row>
    <row r="30" spans="1:12" ht="18" customHeight="1">
      <c r="A30" s="9" t="s">
        <v>539</v>
      </c>
      <c r="B30" s="120" t="str">
        <f>'[4]12)公务用车预算明细表'!B24</f>
        <v>琼A70180</v>
      </c>
      <c r="C30" s="120" t="str">
        <f>'[4]12)公务用车预算明细表'!C24</f>
        <v>CLW5160ZYSD5</v>
      </c>
      <c r="D30" s="120" t="str">
        <f>'[4]12)公务用车预算明细表'!D24</f>
        <v>5900ml</v>
      </c>
      <c r="E30" s="120" t="str">
        <f>'[4]12)公务用车预算明细表'!E24</f>
        <v>2019.04.15</v>
      </c>
      <c r="F30" s="120">
        <f>'[4]12)公务用车预算明细表'!F24</f>
        <v>1</v>
      </c>
      <c r="G30" s="119">
        <f>'[4]12)公务用车预算明细表'!G24</f>
        <v>487696.64</v>
      </c>
      <c r="H30" s="12" t="str">
        <f>'[4]12)公务用车预算明细表'!H24</f>
        <v>压缩式垃圾车</v>
      </c>
      <c r="I30" s="12"/>
      <c r="J30" s="12"/>
      <c r="K30" s="12"/>
      <c r="L30" s="12"/>
    </row>
    <row r="31" spans="1:12" ht="18" customHeight="1">
      <c r="A31" s="9" t="s">
        <v>540</v>
      </c>
      <c r="B31" s="120" t="str">
        <f>'[4]12)公务用车预算明细表'!B25</f>
        <v>琼A71766</v>
      </c>
      <c r="C31" s="120" t="str">
        <f>'[4]12)公务用车预算明细表'!C25</f>
        <v>CLW5071GQXE5</v>
      </c>
      <c r="D31" s="120" t="str">
        <f>'[4]12)公务用车预算明细表'!D25</f>
        <v>2982ml</v>
      </c>
      <c r="E31" s="120" t="str">
        <f>'[4]12)公务用车预算明细表'!E25</f>
        <v>2017.12.27</v>
      </c>
      <c r="F31" s="120">
        <f>'[4]12)公务用车预算明细表'!F25</f>
        <v>1</v>
      </c>
      <c r="G31" s="119">
        <f>'[4]12)公务用车预算明细表'!G25</f>
        <v>298541</v>
      </c>
      <c r="H31" s="12" t="str">
        <f>'[4]12)公务用车预算明细表'!H25</f>
        <v>清洗车</v>
      </c>
      <c r="I31" s="12"/>
      <c r="J31" s="12"/>
      <c r="K31" s="12"/>
      <c r="L31" s="12"/>
    </row>
    <row r="32" spans="1:12" ht="18" customHeight="1">
      <c r="A32" s="9" t="s">
        <v>541</v>
      </c>
      <c r="B32" s="120" t="str">
        <f>'[4]12)公务用车预算明细表'!B26</f>
        <v>琼A71771</v>
      </c>
      <c r="C32" s="120" t="str">
        <f>'[4]12)公务用车预算明细表'!C26</f>
        <v>CSC5161GPSD5</v>
      </c>
      <c r="D32" s="120" t="str">
        <f>'[4]12)公务用车预算明细表'!D26</f>
        <v>5900ml</v>
      </c>
      <c r="E32" s="120" t="str">
        <f>'[4]12)公务用车预算明细表'!E26</f>
        <v>2017.12.26</v>
      </c>
      <c r="F32" s="120">
        <f>'[4]12)公务用车预算明细表'!F26</f>
        <v>1</v>
      </c>
      <c r="G32" s="119">
        <f>'[4]12)公务用车预算明细表'!G26</f>
        <v>386898</v>
      </c>
      <c r="H32" s="12" t="str">
        <f>'[4]12)公务用车预算明细表'!H26</f>
        <v>绿化喷洒车</v>
      </c>
      <c r="I32" s="12"/>
      <c r="J32" s="12"/>
      <c r="K32" s="12"/>
      <c r="L32" s="12"/>
    </row>
    <row r="33" spans="1:12" ht="18" customHeight="1">
      <c r="A33" s="9" t="s">
        <v>542</v>
      </c>
      <c r="B33" s="120" t="str">
        <f>'[4]12)公务用车预算明细表'!B27</f>
        <v>琼AZH862</v>
      </c>
      <c r="C33" s="120" t="str">
        <f>'[4]12)公务用车预算明细表'!C27</f>
        <v>BJ6526MD5VA-XB</v>
      </c>
      <c r="D33" s="120" t="str">
        <f>'[4]12)公务用车预算明细表'!D27</f>
        <v>1995ml</v>
      </c>
      <c r="E33" s="120" t="str">
        <f>'[4]12)公务用车预算明细表'!E27</f>
        <v>2015.10.30</v>
      </c>
      <c r="F33" s="120">
        <f>'[4]12)公务用车预算明细表'!F27</f>
        <v>1</v>
      </c>
      <c r="G33" s="119">
        <f>'[4]12)公务用车预算明细表'!G27</f>
        <v>108118</v>
      </c>
      <c r="H33" s="12" t="str">
        <f>'[4]12)公务用车预算明细表'!H27</f>
        <v>环境卫生部门使用、记入社会性资产，一次性提折旧</v>
      </c>
      <c r="I33" s="12"/>
      <c r="J33" s="12"/>
      <c r="K33" s="12"/>
      <c r="L33" s="12"/>
    </row>
    <row r="34" spans="1:12" ht="18" customHeight="1">
      <c r="A34" s="9" t="s">
        <v>543</v>
      </c>
      <c r="B34" s="120" t="str">
        <f>'[4]12)公务用车预算明细表'!B28</f>
        <v>琼AOS862</v>
      </c>
      <c r="C34" s="120" t="str">
        <f>'[4]12)公务用车预算明细表'!C28</f>
        <v>BJ1037V3MD6</v>
      </c>
      <c r="D34" s="120" t="str">
        <f>'[4]12)公务用车预算明细表'!D28</f>
        <v>1995ml</v>
      </c>
      <c r="E34" s="120" t="str">
        <f>'[4]12)公务用车预算明细表'!E28</f>
        <v>2015.09.23</v>
      </c>
      <c r="F34" s="120">
        <f>'[4]12)公务用车预算明细表'!F28</f>
        <v>1</v>
      </c>
      <c r="G34" s="119">
        <f>'[4]12)公务用车预算明细表'!G28</f>
        <v>156078</v>
      </c>
      <c r="H34" s="12" t="str">
        <f>'[4]12)公务用车预算明细表'!H28</f>
        <v>记入社会性资产，一次性提折旧（办公室使用）</v>
      </c>
      <c r="I34" s="12"/>
      <c r="J34" s="12"/>
      <c r="K34" s="12"/>
      <c r="L34" s="12"/>
    </row>
    <row r="35" spans="1:12" ht="18" customHeight="1">
      <c r="A35" s="9" t="s">
        <v>544</v>
      </c>
      <c r="B35" s="120" t="str">
        <f>'[4]12)公务用车预算明细表'!B29</f>
        <v>琼A2T367</v>
      </c>
      <c r="C35" s="120" t="str">
        <f>'[4]12)公务用车预算明细表'!C29</f>
        <v>CAF6450A54</v>
      </c>
      <c r="D35" s="120" t="str">
        <f>'[4]12)公务用车预算明细表'!D29</f>
        <v>1499ml</v>
      </c>
      <c r="E35" s="120" t="str">
        <f>'[4]12)公务用车预算明细表'!E29</f>
        <v>2016.01.14</v>
      </c>
      <c r="F35" s="120">
        <f>'[4]12)公务用车预算明细表'!F29</f>
        <v>1</v>
      </c>
      <c r="G35" s="119">
        <f>'[4]12)公务用车预算明细表'!G29</f>
        <v>191223</v>
      </c>
      <c r="H35" s="12" t="str">
        <f>'[4]12)公务用车预算明细表'!H29</f>
        <v>记入社会性资产，一次性提折旧</v>
      </c>
      <c r="I35" s="12"/>
      <c r="J35" s="12"/>
      <c r="K35" s="12"/>
      <c r="L35" s="12"/>
    </row>
    <row r="36" spans="1:12" ht="18" customHeight="1">
      <c r="A36" s="9" t="s">
        <v>589</v>
      </c>
      <c r="B36" s="120" t="str">
        <f>'[4]12)公务用车预算明细表'!B30</f>
        <v>电动三轮保洁车</v>
      </c>
      <c r="C36" s="120">
        <f>'[4]12)公务用车预算明细表'!C30</f>
        <v>0</v>
      </c>
      <c r="D36" s="120">
        <f>'[4]12)公务用车预算明细表'!D30</f>
        <v>0</v>
      </c>
      <c r="E36" s="120" t="str">
        <f>'[4]12)公务用车预算明细表'!E30</f>
        <v>2018.1.31</v>
      </c>
      <c r="F36" s="120">
        <f>'[4]12)公务用车预算明细表'!F30</f>
        <v>17</v>
      </c>
      <c r="G36" s="119">
        <f>'[4]12)公务用车预算明细表'!G30</f>
        <v>125120</v>
      </c>
      <c r="H36" s="12" t="str">
        <f>'[4]12)公务用车预算明细表'!H30</f>
        <v>预算在第二季度全部报废</v>
      </c>
      <c r="I36" s="12"/>
      <c r="J36" s="12"/>
      <c r="K36" s="12"/>
      <c r="L36" s="12"/>
    </row>
    <row r="37" spans="1:12" ht="18" customHeight="1">
      <c r="A37" s="9" t="s">
        <v>590</v>
      </c>
      <c r="B37" s="120" t="str">
        <f>'[4]12)公务用车预算明细表'!B31</f>
        <v>电动三轮保洁车</v>
      </c>
      <c r="C37" s="120">
        <f>'[4]12)公务用车预算明细表'!C31</f>
        <v>0</v>
      </c>
      <c r="D37" s="120">
        <f>'[4]12)公务用车预算明细表'!D31</f>
        <v>0</v>
      </c>
      <c r="E37" s="120" t="str">
        <f>'[4]12)公务用车预算明细表'!E31</f>
        <v>2022.5.01</v>
      </c>
      <c r="F37" s="120">
        <f>'[4]12)公务用车预算明细表'!F31</f>
        <v>10</v>
      </c>
      <c r="G37" s="119">
        <f>'[4]12)公务用车预算明细表'!G31</f>
        <v>72815.53</v>
      </c>
      <c r="H37" s="12" t="str">
        <f>'[4]12)公务用车预算明细表'!H31</f>
        <v>报废旧的更换新的</v>
      </c>
      <c r="I37" s="12"/>
      <c r="J37" s="12"/>
      <c r="K37" s="12"/>
      <c r="L37" s="12"/>
    </row>
    <row r="38" spans="1:12" ht="18" customHeight="1">
      <c r="A38" s="9" t="s">
        <v>591</v>
      </c>
      <c r="B38" s="120" t="str">
        <f>'[4]12)公务用车预算明细表'!B32</f>
        <v>多功能电动清洗三轮车</v>
      </c>
      <c r="C38" s="120">
        <f>'[4]12)公务用车预算明细表'!C32</f>
        <v>0</v>
      </c>
      <c r="D38" s="120">
        <f>'[4]12)公务用车预算明细表'!D32</f>
        <v>0</v>
      </c>
      <c r="E38" s="120" t="str">
        <f>'[4]12)公务用车预算明细表'!E32</f>
        <v>2022.10.31</v>
      </c>
      <c r="F38" s="120">
        <f>'[4]12)公务用车预算明细表'!F32</f>
        <v>5</v>
      </c>
      <c r="G38" s="119">
        <f>'[4]12)公务用车预算明细表'!G32</f>
        <v>121262.13</v>
      </c>
      <c r="H38" s="12">
        <f>'[4]12)公务用车预算明细表'!H32</f>
        <v>0</v>
      </c>
      <c r="I38" s="12"/>
      <c r="J38" s="12"/>
      <c r="K38" s="12"/>
      <c r="L38" s="12"/>
    </row>
    <row r="39" spans="1:12" ht="18" customHeight="1">
      <c r="A39" s="9" t="s">
        <v>592</v>
      </c>
      <c r="B39" s="120"/>
      <c r="C39" s="120"/>
      <c r="D39" s="120"/>
      <c r="E39" s="120"/>
      <c r="F39" s="120"/>
      <c r="G39" s="120"/>
      <c r="H39" s="12"/>
      <c r="I39" s="12"/>
      <c r="J39" s="12"/>
      <c r="K39" s="12"/>
      <c r="L39" s="12"/>
    </row>
    <row r="40" spans="1:12" ht="18" customHeight="1">
      <c r="A40" s="9" t="s">
        <v>593</v>
      </c>
      <c r="B40" s="120"/>
      <c r="C40" s="120"/>
      <c r="D40" s="120"/>
      <c r="E40" s="120"/>
      <c r="F40" s="120"/>
      <c r="G40" s="120"/>
      <c r="H40" s="12"/>
      <c r="I40" s="12"/>
      <c r="J40" s="12"/>
      <c r="K40" s="12"/>
      <c r="L40" s="12"/>
    </row>
    <row r="41" spans="1:12" ht="18" customHeight="1">
      <c r="A41" s="9" t="s">
        <v>594</v>
      </c>
      <c r="B41" s="120"/>
      <c r="C41" s="120"/>
      <c r="D41" s="120"/>
      <c r="E41" s="120"/>
      <c r="F41" s="120"/>
      <c r="G41" s="120"/>
      <c r="H41" s="12"/>
      <c r="I41" s="12"/>
      <c r="J41" s="12"/>
      <c r="K41" s="12"/>
      <c r="L41" s="12"/>
    </row>
    <row r="42" spans="1:12" ht="18" customHeight="1">
      <c r="A42" s="5"/>
      <c r="B42" s="16"/>
      <c r="C42" s="5"/>
      <c r="D42" s="5"/>
      <c r="E42" s="16"/>
      <c r="F42" s="16"/>
      <c r="G42" s="5"/>
      <c r="H42" s="12"/>
      <c r="I42" s="12"/>
      <c r="J42" s="12"/>
      <c r="K42" s="12"/>
      <c r="L42" s="12"/>
    </row>
    <row r="43" spans="1:12" ht="18" customHeight="1">
      <c r="A43" s="5"/>
      <c r="B43" s="16"/>
      <c r="C43" s="4" t="s">
        <v>340</v>
      </c>
      <c r="D43" s="5"/>
      <c r="E43" s="16"/>
      <c r="F43" s="16"/>
      <c r="G43" s="4" t="s">
        <v>380</v>
      </c>
      <c r="H43" s="5"/>
      <c r="I43" s="5"/>
      <c r="J43" s="5"/>
      <c r="K43" s="5"/>
      <c r="L43" s="5"/>
    </row>
    <row r="44" spans="1:12" ht="18" customHeight="1">
      <c r="A44" s="16"/>
      <c r="B44" s="5"/>
      <c r="C44" s="5"/>
      <c r="D44" s="5"/>
      <c r="E44" s="5"/>
      <c r="F44" s="5"/>
      <c r="G44" s="5"/>
      <c r="H44" s="5"/>
      <c r="I44" s="5"/>
      <c r="J44" s="5"/>
      <c r="K44" s="5"/>
      <c r="L44" s="5"/>
    </row>
    <row r="45" spans="1:12" ht="18" customHeight="1">
      <c r="A45" s="5" t="s">
        <v>457</v>
      </c>
      <c r="B45" s="5" t="s">
        <v>595</v>
      </c>
      <c r="C45" s="5" t="s">
        <v>595</v>
      </c>
      <c r="D45" s="5" t="s">
        <v>595</v>
      </c>
      <c r="E45" s="5" t="s">
        <v>595</v>
      </c>
      <c r="F45" s="5" t="s">
        <v>595</v>
      </c>
      <c r="G45" s="5" t="s">
        <v>595</v>
      </c>
      <c r="H45" s="5" t="s">
        <v>595</v>
      </c>
      <c r="I45" s="5" t="s">
        <v>595</v>
      </c>
      <c r="J45" s="5" t="s">
        <v>595</v>
      </c>
      <c r="K45" s="5" t="s">
        <v>595</v>
      </c>
      <c r="L45" s="5" t="s">
        <v>595</v>
      </c>
    </row>
    <row r="46" spans="1:12" ht="18" customHeight="1">
      <c r="A46" s="5"/>
      <c r="B46" s="5" t="s">
        <v>596</v>
      </c>
      <c r="C46" s="5" t="s">
        <v>596</v>
      </c>
      <c r="D46" s="5" t="s">
        <v>596</v>
      </c>
      <c r="E46" s="5" t="s">
        <v>596</v>
      </c>
      <c r="F46" s="5" t="s">
        <v>596</v>
      </c>
      <c r="G46" s="5" t="s">
        <v>596</v>
      </c>
      <c r="H46" s="5" t="s">
        <v>596</v>
      </c>
      <c r="I46" s="5" t="s">
        <v>596</v>
      </c>
      <c r="J46" s="5" t="s">
        <v>596</v>
      </c>
      <c r="K46" s="5" t="s">
        <v>596</v>
      </c>
      <c r="L46" s="5" t="s">
        <v>596</v>
      </c>
    </row>
    <row r="47" spans="1:12" ht="18" customHeight="1">
      <c r="A47" s="5"/>
      <c r="B47" s="5" t="s">
        <v>597</v>
      </c>
      <c r="C47" s="5" t="s">
        <v>597</v>
      </c>
      <c r="D47" s="5" t="s">
        <v>597</v>
      </c>
      <c r="E47" s="5" t="s">
        <v>597</v>
      </c>
      <c r="F47" s="5" t="s">
        <v>597</v>
      </c>
      <c r="G47" s="5" t="s">
        <v>597</v>
      </c>
      <c r="H47" s="5" t="s">
        <v>597</v>
      </c>
      <c r="I47" s="5" t="s">
        <v>597</v>
      </c>
      <c r="J47" s="5" t="s">
        <v>597</v>
      </c>
      <c r="K47" s="5" t="s">
        <v>597</v>
      </c>
      <c r="L47" s="5" t="s">
        <v>597</v>
      </c>
    </row>
    <row r="48" spans="1:12" ht="18" customHeight="1">
      <c r="A48" s="5" t="s">
        <v>503</v>
      </c>
      <c r="B48" s="5"/>
      <c r="C48" s="5"/>
      <c r="D48" s="5"/>
      <c r="E48" s="5"/>
      <c r="F48" s="5"/>
      <c r="G48" s="5"/>
      <c r="H48" s="5"/>
      <c r="I48" s="5"/>
      <c r="J48" s="5"/>
      <c r="K48" s="5"/>
      <c r="L48" s="5"/>
    </row>
    <row r="49" spans="1:12" ht="18" customHeight="1">
      <c r="A49" s="5"/>
      <c r="B49" s="5"/>
      <c r="C49" s="5"/>
      <c r="D49" s="5"/>
      <c r="E49" s="5"/>
      <c r="F49" s="5"/>
      <c r="G49" s="5"/>
      <c r="H49" s="5"/>
      <c r="I49" s="5"/>
      <c r="J49" s="5"/>
      <c r="K49" s="5"/>
      <c r="L49" s="5"/>
    </row>
  </sheetData>
  <sheetProtection/>
  <mergeCells count="45">
    <mergeCell ref="B1:L1"/>
    <mergeCell ref="A3:L3"/>
    <mergeCell ref="G4:K4"/>
    <mergeCell ref="A18:L18"/>
    <mergeCell ref="H21:L21"/>
    <mergeCell ref="H22:L22"/>
    <mergeCell ref="H23:L23"/>
    <mergeCell ref="H24:L24"/>
    <mergeCell ref="H25:L25"/>
    <mergeCell ref="H26:L26"/>
    <mergeCell ref="H27:L27"/>
    <mergeCell ref="H28:L28"/>
    <mergeCell ref="H29:L29"/>
    <mergeCell ref="H30:L30"/>
    <mergeCell ref="H31:L31"/>
    <mergeCell ref="H32:L32"/>
    <mergeCell ref="H33:L33"/>
    <mergeCell ref="H34:L34"/>
    <mergeCell ref="H35:L35"/>
    <mergeCell ref="H36:L36"/>
    <mergeCell ref="H37:L37"/>
    <mergeCell ref="H38:L38"/>
    <mergeCell ref="H39:L39"/>
    <mergeCell ref="H40:L40"/>
    <mergeCell ref="H41:L41"/>
    <mergeCell ref="H42:L42"/>
    <mergeCell ref="B45:L45"/>
    <mergeCell ref="B46:L46"/>
    <mergeCell ref="B47:L47"/>
    <mergeCell ref="B48:L48"/>
    <mergeCell ref="B49:L49"/>
    <mergeCell ref="A4:A6"/>
    <mergeCell ref="A19:A21"/>
    <mergeCell ref="B4:B5"/>
    <mergeCell ref="B19:B20"/>
    <mergeCell ref="C4:C5"/>
    <mergeCell ref="C19:C20"/>
    <mergeCell ref="D4:D5"/>
    <mergeCell ref="D19:D20"/>
    <mergeCell ref="E4:E5"/>
    <mergeCell ref="E19:E20"/>
    <mergeCell ref="F4:F5"/>
    <mergeCell ref="F19:F20"/>
    <mergeCell ref="G19:G20"/>
    <mergeCell ref="H19:L20"/>
  </mergeCells>
  <printOptions/>
  <pageMargins left="0.75" right="0.75" top="0.38" bottom="0.36" header="0.22" footer="0.16"/>
  <pageSetup fitToHeight="1" fitToWidth="1" horizontalDpi="300" verticalDpi="300" orientation="landscape" paperSize="9" scale="68"/>
</worksheet>
</file>

<file path=xl/worksheets/sheet13.xml><?xml version="1.0" encoding="utf-8"?>
<worksheet xmlns="http://schemas.openxmlformats.org/spreadsheetml/2006/main" xmlns:r="http://schemas.openxmlformats.org/officeDocument/2006/relationships">
  <sheetPr>
    <pageSetUpPr fitToPage="1"/>
  </sheetPr>
  <dimension ref="A1:M43"/>
  <sheetViews>
    <sheetView workbookViewId="0" topLeftCell="A6">
      <selection activeCell="H35" sqref="H35:K35"/>
    </sheetView>
  </sheetViews>
  <sheetFormatPr defaultColWidth="9.140625" defaultRowHeight="12.75"/>
  <cols>
    <col min="1" max="1" width="30.28125" style="0" customWidth="1"/>
    <col min="2" max="2" width="13.140625" style="0" hidden="1" customWidth="1"/>
    <col min="3" max="3" width="11.8515625" style="0" hidden="1" customWidth="1"/>
    <col min="4" max="4" width="11.7109375" style="0" hidden="1" customWidth="1"/>
    <col min="5" max="5" width="12.421875" style="0" hidden="1" customWidth="1"/>
    <col min="6" max="6" width="9.8515625" style="0" hidden="1" customWidth="1"/>
    <col min="7" max="11" width="13.7109375" style="0" customWidth="1"/>
    <col min="12" max="12" width="9.7109375" style="0" customWidth="1"/>
    <col min="13" max="13" width="10.7109375" style="0" customWidth="1"/>
    <col min="15" max="15" width="11.7109375" style="0" bestFit="1" customWidth="1"/>
  </cols>
  <sheetData>
    <row r="1" spans="1:13" ht="25.5" customHeight="1">
      <c r="A1" s="23" t="s">
        <v>598</v>
      </c>
      <c r="B1" s="23"/>
      <c r="C1" s="23" t="s">
        <v>598</v>
      </c>
      <c r="D1" s="23" t="s">
        <v>598</v>
      </c>
      <c r="E1" s="23" t="s">
        <v>598</v>
      </c>
      <c r="F1" s="23"/>
      <c r="G1" s="23" t="s">
        <v>598</v>
      </c>
      <c r="H1" s="23" t="s">
        <v>598</v>
      </c>
      <c r="I1" s="23" t="s">
        <v>598</v>
      </c>
      <c r="J1" s="23" t="s">
        <v>598</v>
      </c>
      <c r="K1" s="23" t="s">
        <v>598</v>
      </c>
      <c r="L1" s="23" t="s">
        <v>598</v>
      </c>
      <c r="M1" s="23" t="s">
        <v>598</v>
      </c>
    </row>
    <row r="2" spans="1:13" ht="18" customHeight="1">
      <c r="A2" s="106" t="s">
        <v>364</v>
      </c>
      <c r="B2" s="107"/>
      <c r="C2" s="45"/>
      <c r="D2" s="46"/>
      <c r="E2" s="47"/>
      <c r="F2" s="55"/>
      <c r="G2" s="24" t="s">
        <v>288</v>
      </c>
      <c r="H2" s="5"/>
      <c r="I2" s="5"/>
      <c r="J2" s="5"/>
      <c r="K2" s="5"/>
      <c r="L2" s="16" t="s">
        <v>599</v>
      </c>
      <c r="M2" s="5"/>
    </row>
    <row r="3" spans="1:13" ht="18" customHeight="1">
      <c r="A3" s="18" t="s">
        <v>290</v>
      </c>
      <c r="B3" s="90" t="s">
        <v>366</v>
      </c>
      <c r="C3" s="38"/>
      <c r="D3" s="38"/>
      <c r="E3" s="38"/>
      <c r="F3" s="39"/>
      <c r="G3" s="9" t="s">
        <v>292</v>
      </c>
      <c r="H3" s="9" t="s">
        <v>292</v>
      </c>
      <c r="I3" s="9" t="s">
        <v>292</v>
      </c>
      <c r="J3" s="9" t="s">
        <v>292</v>
      </c>
      <c r="K3" s="9" t="s">
        <v>292</v>
      </c>
      <c r="L3" s="9" t="s">
        <v>293</v>
      </c>
      <c r="M3" s="18" t="s">
        <v>33</v>
      </c>
    </row>
    <row r="4" spans="1:13" ht="18" customHeight="1">
      <c r="A4" s="18" t="s">
        <v>290</v>
      </c>
      <c r="B4" s="9" t="s">
        <v>294</v>
      </c>
      <c r="C4" s="9" t="s">
        <v>463</v>
      </c>
      <c r="D4" s="9" t="s">
        <v>296</v>
      </c>
      <c r="E4" s="9" t="s">
        <v>464</v>
      </c>
      <c r="F4" s="9" t="s">
        <v>299</v>
      </c>
      <c r="G4" s="9" t="s">
        <v>314</v>
      </c>
      <c r="H4" s="9" t="s">
        <v>324</v>
      </c>
      <c r="I4" s="9" t="s">
        <v>331</v>
      </c>
      <c r="J4" s="9" t="s">
        <v>334</v>
      </c>
      <c r="K4" s="9" t="s">
        <v>336</v>
      </c>
      <c r="L4" s="9" t="s">
        <v>293</v>
      </c>
      <c r="M4" s="18" t="s">
        <v>33</v>
      </c>
    </row>
    <row r="5" spans="1:13" ht="18.75" customHeight="1">
      <c r="A5" s="25" t="s">
        <v>600</v>
      </c>
      <c r="B5" s="11">
        <f>B6+B9+B13+B14+B20+B21</f>
        <v>21986675.12</v>
      </c>
      <c r="C5" s="11">
        <f>C6+C9+C13+C14+C20+C21</f>
        <v>16002080.76</v>
      </c>
      <c r="D5" s="11">
        <f>D6+D9+D13+D14+D20+D21</f>
        <v>3570771.7199999997</v>
      </c>
      <c r="E5" s="11">
        <f>E6+E9+E13+E14+E20+E21</f>
        <v>19572852.48</v>
      </c>
      <c r="F5" s="40">
        <f aca="true" t="shared" si="0" ref="F5:F29">E5/B5</f>
        <v>0.8902142944840129</v>
      </c>
      <c r="G5" s="11">
        <f>G6+G9+G13+G14+G20+G21</f>
        <v>22954941.05283019</v>
      </c>
      <c r="H5" s="11">
        <f>H6+H9+H13+H14+H20+H21</f>
        <v>6371357.381132076</v>
      </c>
      <c r="I5" s="11">
        <f>I6+I9+I13+I14+I20+I21</f>
        <v>5538294.796226415</v>
      </c>
      <c r="J5" s="11">
        <f>J6+J9+J13+J14+J20+J21</f>
        <v>5425248.437735848</v>
      </c>
      <c r="K5" s="11">
        <f>K6+K9+K13+K14+K20+K21</f>
        <v>5620040.437735848</v>
      </c>
      <c r="L5" s="41">
        <f>G5/E5</f>
        <v>1.1727948737306475</v>
      </c>
      <c r="M5" s="5"/>
    </row>
    <row r="6" spans="1:13" ht="18.75" customHeight="1">
      <c r="A6" s="25" t="s">
        <v>601</v>
      </c>
      <c r="B6" s="11">
        <f>SUM(B7:B8)</f>
        <v>2190448.75</v>
      </c>
      <c r="C6" s="11">
        <f>SUM(C7:C8)</f>
        <v>187328.43</v>
      </c>
      <c r="D6" s="11">
        <f>SUM(D7:D8)</f>
        <v>150000</v>
      </c>
      <c r="E6" s="11">
        <f>SUM(E7:E8)</f>
        <v>337328.43</v>
      </c>
      <c r="F6" s="40">
        <f t="shared" si="0"/>
        <v>0.1539996907026471</v>
      </c>
      <c r="G6" s="11">
        <f aca="true" t="shared" si="1" ref="B6:K6">SUM(G7:G8)</f>
        <v>2960288.4000000004</v>
      </c>
      <c r="H6" s="11">
        <f t="shared" si="1"/>
        <v>1284912.1</v>
      </c>
      <c r="I6" s="11">
        <f t="shared" si="1"/>
        <v>580792.1</v>
      </c>
      <c r="J6" s="11">
        <f t="shared" si="1"/>
        <v>453292.1</v>
      </c>
      <c r="K6" s="11">
        <f t="shared" si="1"/>
        <v>641292.1</v>
      </c>
      <c r="L6" s="41">
        <f>G6/E6</f>
        <v>8.775686057650107</v>
      </c>
      <c r="M6" s="5"/>
    </row>
    <row r="7" spans="1:13" ht="18.75" customHeight="1">
      <c r="A7" s="25" t="s">
        <v>602</v>
      </c>
      <c r="B7" s="11">
        <f>'[3]13)主营业务收支预算表'!B7+'[4]13)主营业务收支预算表'!B7+'[5]13)主营业务收支预算表'!B7</f>
        <v>1540448.75</v>
      </c>
      <c r="C7" s="11">
        <f>'[3]13)主营业务收支预算表'!C7+'[4]13)主营业务收支预算表'!C7+'[5]13)主营业务收支预算表'!C7</f>
        <v>164708.43</v>
      </c>
      <c r="D7" s="11">
        <f>'[3]13)主营业务收支预算表'!D7+'[4]13)主营业务收支预算表'!D7+'[5]13)主营业务收支预算表'!D7</f>
        <v>0</v>
      </c>
      <c r="E7" s="11">
        <f aca="true" t="shared" si="2" ref="E7:E20">C7+D7</f>
        <v>164708.43</v>
      </c>
      <c r="F7" s="40">
        <f t="shared" si="0"/>
        <v>0.10692236921221819</v>
      </c>
      <c r="G7" s="11">
        <f>SUM(H7:K7)</f>
        <v>2448996.3000000003</v>
      </c>
      <c r="H7" s="11">
        <f>'[3]13)主营业务收支预算表'!H7+'[4]13)主营业务收支预算表'!H7+'[5]13)主营业务收支预算表'!H7</f>
        <v>1259912.1</v>
      </c>
      <c r="I7" s="11">
        <f>'[3]13)主营业务收支预算表'!I7+'[4]13)主营业务收支预算表'!I7+'[5]13)主营业务收支预算表'!I7</f>
        <v>555792.1</v>
      </c>
      <c r="J7" s="11">
        <f>'[3]13)主营业务收支预算表'!J7+'[4]13)主营业务收支预算表'!J7+'[5]13)主营业务收支预算表'!J7</f>
        <v>385000</v>
      </c>
      <c r="K7" s="11">
        <f>'[3]13)主营业务收支预算表'!K7+'[4]13)主营业务收支预算表'!K7+'[5]13)主营业务收支预算表'!K7</f>
        <v>248292.1</v>
      </c>
      <c r="L7" s="41">
        <f>G7/E7</f>
        <v>14.868676120584723</v>
      </c>
      <c r="M7" s="5"/>
    </row>
    <row r="8" spans="1:13" ht="18.75" customHeight="1">
      <c r="A8" s="25" t="s">
        <v>603</v>
      </c>
      <c r="B8" s="11">
        <f>'[3]13)主营业务收支预算表'!B8+'[4]13)主营业务收支预算表'!B8+'[5]13)主营业务收支预算表'!B8</f>
        <v>650000</v>
      </c>
      <c r="C8" s="11">
        <f>'[3]13)主营业务收支预算表'!C8+'[4]13)主营业务收支预算表'!C8+'[5]13)主营业务收支预算表'!C8</f>
        <v>22620</v>
      </c>
      <c r="D8" s="11">
        <f>'[3]13)主营业务收支预算表'!D8+'[4]13)主营业务收支预算表'!D8+'[5]13)主营业务收支预算表'!D8</f>
        <v>150000</v>
      </c>
      <c r="E8" s="11">
        <f t="shared" si="2"/>
        <v>172620</v>
      </c>
      <c r="F8" s="40">
        <f t="shared" si="0"/>
        <v>0.2655692307692308</v>
      </c>
      <c r="G8" s="11">
        <f>SUM(H8:K8)</f>
        <v>511292.1</v>
      </c>
      <c r="H8" s="11">
        <f>'[3]13)主营业务收支预算表'!H8+'[4]13)主营业务收支预算表'!H8+'[5]13)主营业务收支预算表'!H8</f>
        <v>25000</v>
      </c>
      <c r="I8" s="11">
        <f>'[3]13)主营业务收支预算表'!I8+'[4]13)主营业务收支预算表'!I8+'[5]13)主营业务收支预算表'!I8</f>
        <v>25000</v>
      </c>
      <c r="J8" s="11">
        <f>'[3]13)主营业务收支预算表'!J8+'[4]13)主营业务收支预算表'!J8+'[5]13)主营业务收支预算表'!J8</f>
        <v>68292.1</v>
      </c>
      <c r="K8" s="11">
        <f>'[3]13)主营业务收支预算表'!K8+'[4]13)主营业务收支预算表'!K8+'[5]13)主营业务收支预算表'!K8</f>
        <v>393000</v>
      </c>
      <c r="L8" s="41">
        <f>G8/E8</f>
        <v>2.9619516857838026</v>
      </c>
      <c r="M8" s="5"/>
    </row>
    <row r="9" spans="1:13" ht="18.75" customHeight="1">
      <c r="A9" s="25" t="s">
        <v>604</v>
      </c>
      <c r="B9" s="26">
        <f>SUM(B10:B12)</f>
        <v>7506792.41</v>
      </c>
      <c r="C9" s="26">
        <f aca="true" t="shared" si="3" ref="C9:K9">SUM(C10:C12)</f>
        <v>5199717.41</v>
      </c>
      <c r="D9" s="26">
        <f t="shared" si="3"/>
        <v>448062.88</v>
      </c>
      <c r="E9" s="26">
        <f t="shared" si="3"/>
        <v>5647780.29</v>
      </c>
      <c r="F9" s="40">
        <f t="shared" si="0"/>
        <v>0.7523559972800686</v>
      </c>
      <c r="G9" s="26">
        <f t="shared" si="3"/>
        <v>5961092.350943396</v>
      </c>
      <c r="H9" s="26">
        <f t="shared" si="3"/>
        <v>1470508.0358490567</v>
      </c>
      <c r="I9" s="26">
        <f t="shared" si="3"/>
        <v>1484961.6773584904</v>
      </c>
      <c r="J9" s="26">
        <f t="shared" si="3"/>
        <v>1499415.3188679244</v>
      </c>
      <c r="K9" s="26">
        <f t="shared" si="3"/>
        <v>1506207.3188679244</v>
      </c>
      <c r="L9" s="41">
        <f aca="true" t="shared" si="4" ref="L9:L29">G9/E9</f>
        <v>1.0554752566239427</v>
      </c>
      <c r="M9" s="5"/>
    </row>
    <row r="10" spans="1:13" ht="18.75" customHeight="1">
      <c r="A10" s="25" t="s">
        <v>605</v>
      </c>
      <c r="B10" s="11">
        <f>'[3]13)主营业务收支预算表'!B10+'[4]13)主营业务收支预算表'!B10+'[5]13)主营业务收支预算表'!B10</f>
        <v>7195471.69</v>
      </c>
      <c r="C10" s="11">
        <f>'[3]13)主营业务收支预算表'!C10+'[4]13)主营业务收支预算表'!C10+'[5]13)主营业务收支预算表'!C10</f>
        <v>4940425.5</v>
      </c>
      <c r="D10" s="11">
        <f>'[3]13)主营业务收支预算表'!D10+'[4]13)主营业务收支预算表'!D10+'[5]13)主营业务收支预算表'!D10</f>
        <v>448062.88</v>
      </c>
      <c r="E10" s="11">
        <f t="shared" si="2"/>
        <v>5388488.38</v>
      </c>
      <c r="F10" s="40">
        <f t="shared" si="0"/>
        <v>0.7488721535085352</v>
      </c>
      <c r="G10" s="11">
        <f aca="true" t="shared" si="5" ref="G10:G23">SUM(H10:K10)</f>
        <v>5282371.150943397</v>
      </c>
      <c r="H10" s="11">
        <f>'[3]13)主营业务收支预算表'!H10+'[4]13)主营业务收支预算表'!H10+'[5]13)主营业务收支预算表'!H10</f>
        <v>1300827.7358490566</v>
      </c>
      <c r="I10" s="11">
        <f>'[3]13)主营业务收支预算表'!I10+'[4]13)主营业务收支预算表'!I10+'[5]13)主营业务收支预算表'!I10</f>
        <v>1315281.3773584906</v>
      </c>
      <c r="J10" s="11">
        <f>'[3]13)主营业务收支预算表'!J10+'[4]13)主营业务收支预算表'!J10+'[5]13)主营业务收支预算表'!J10</f>
        <v>1329735.0188679246</v>
      </c>
      <c r="K10" s="11">
        <f>'[3]13)主营业务收支预算表'!K10+'[4]13)主营业务收支预算表'!K10+'[5]13)主营业务收支预算表'!K10</f>
        <v>1336527.0188679246</v>
      </c>
      <c r="L10" s="41">
        <f t="shared" si="4"/>
        <v>0.9803066794297136</v>
      </c>
      <c r="M10" s="5"/>
    </row>
    <row r="11" spans="1:13" ht="18.75" customHeight="1">
      <c r="A11" s="25" t="s">
        <v>606</v>
      </c>
      <c r="B11" s="11">
        <f>'[3]13)主营业务收支预算表'!B11+'[4]13)主营业务收支预算表'!B11+'[5]13)主营业务收支预算表'!B11</f>
        <v>311320.72</v>
      </c>
      <c r="C11" s="11">
        <f>'[3]13)主营业务收支预算表'!C11+'[4]13)主营业务收支预算表'!C11+'[5]13)主营业务收支预算表'!C11</f>
        <v>259291.91</v>
      </c>
      <c r="D11" s="11">
        <f>'[3]13)主营业务收支预算表'!D11+'[4]13)主营业务收支预算表'!D11+'[5]13)主营业务收支预算表'!D11</f>
        <v>0</v>
      </c>
      <c r="E11" s="11">
        <f t="shared" si="2"/>
        <v>259291.91</v>
      </c>
      <c r="F11" s="40">
        <f t="shared" si="0"/>
        <v>0.8328771371208444</v>
      </c>
      <c r="G11" s="11">
        <f t="shared" si="5"/>
        <v>678721.1999999995</v>
      </c>
      <c r="H11" s="11">
        <f>'[3]13)主营业务收支预算表'!H11+'[4]13)主营业务收支预算表'!H11+'[5]13)主营业务收支预算表'!H11</f>
        <v>169680.3</v>
      </c>
      <c r="I11" s="11">
        <f>'[3]13)主营业务收支预算表'!I11+'[4]13)主营业务收支预算表'!I11+'[5]13)主营业务收支预算表'!I11</f>
        <v>169680.2999999998</v>
      </c>
      <c r="J11" s="11">
        <f>'[3]13)主营业务收支预算表'!J11+'[4]13)主营业务收支预算表'!J11+'[5]13)主营业务收支预算表'!J11</f>
        <v>169680.2999999998</v>
      </c>
      <c r="K11" s="11">
        <f>'[3]13)主营业务收支预算表'!K11+'[4]13)主营业务收支预算表'!K11+'[5]13)主营业务收支预算表'!K11</f>
        <v>169680.2999999998</v>
      </c>
      <c r="L11" s="41">
        <f t="shared" si="4"/>
        <v>2.617594972400024</v>
      </c>
      <c r="M11" s="5"/>
    </row>
    <row r="12" spans="1:13" ht="18.75" customHeight="1">
      <c r="A12" s="25" t="s">
        <v>607</v>
      </c>
      <c r="B12" s="11">
        <f>'[3]13)主营业务收支预算表'!B12+'[4]13)主营业务收支预算表'!B12+'[5]13)主营业务收支预算表'!B12</f>
        <v>0</v>
      </c>
      <c r="C12" s="11">
        <f>'[3]13)主营业务收支预算表'!C12+'[4]13)主营业务收支预算表'!C12+'[5]13)主营业务收支预算表'!C12</f>
        <v>0</v>
      </c>
      <c r="D12" s="11">
        <f>'[3]13)主营业务收支预算表'!D12+'[4]13)主营业务收支预算表'!D12+'[5]13)主营业务收支预算表'!D12</f>
        <v>0</v>
      </c>
      <c r="E12" s="11">
        <f t="shared" si="2"/>
        <v>0</v>
      </c>
      <c r="F12" s="40" t="e">
        <f t="shared" si="0"/>
        <v>#DIV/0!</v>
      </c>
      <c r="G12" s="11">
        <f t="shared" si="5"/>
        <v>0</v>
      </c>
      <c r="H12" s="11">
        <f>'[3]13)主营业务收支预算表'!H12+'[4]13)主营业务收支预算表'!H12+'[5]13)主营业务收支预算表'!H12</f>
        <v>0</v>
      </c>
      <c r="I12" s="11">
        <f>'[3]13)主营业务收支预算表'!I12+'[4]13)主营业务收支预算表'!I12+'[5]13)主营业务收支预算表'!I12</f>
        <v>0</v>
      </c>
      <c r="J12" s="11">
        <f>'[3]13)主营业务收支预算表'!J12+'[4]13)主营业务收支预算表'!J12+'[5]13)主营业务收支预算表'!J12</f>
        <v>0</v>
      </c>
      <c r="K12" s="11">
        <f>'[3]13)主营业务收支预算表'!K12+'[4]13)主营业务收支预算表'!K12+'[5]13)主营业务收支预算表'!K12</f>
        <v>0</v>
      </c>
      <c r="L12" s="41" t="e">
        <f t="shared" si="4"/>
        <v>#DIV/0!</v>
      </c>
      <c r="M12" s="5"/>
    </row>
    <row r="13" spans="1:13" ht="18.75" customHeight="1">
      <c r="A13" s="25" t="s">
        <v>608</v>
      </c>
      <c r="B13" s="11">
        <f>'[3]13)主营业务收支预算表'!B13+'[4]13)主营业务收支预算表'!B13+'[5]13)主营业务收支预算表'!B13</f>
        <v>0</v>
      </c>
      <c r="C13" s="11">
        <f>'[3]13)主营业务收支预算表'!C13+'[4]13)主营业务收支预算表'!C13+'[5]13)主营业务收支预算表'!C13</f>
        <v>0</v>
      </c>
      <c r="D13" s="11">
        <f>'[3]13)主营业务收支预算表'!D13+'[4]13)主营业务收支预算表'!D13+'[5]13)主营业务收支预算表'!D13</f>
        <v>0</v>
      </c>
      <c r="E13" s="11">
        <f t="shared" si="2"/>
        <v>0</v>
      </c>
      <c r="F13" s="40" t="e">
        <f t="shared" si="0"/>
        <v>#DIV/0!</v>
      </c>
      <c r="G13" s="11">
        <f t="shared" si="5"/>
        <v>0</v>
      </c>
      <c r="H13" s="11">
        <f>'[3]13)主营业务收支预算表'!H13+'[4]13)主营业务收支预算表'!H13+'[5]13)主营业务收支预算表'!H13</f>
        <v>0</v>
      </c>
      <c r="I13" s="11">
        <f>'[3]13)主营业务收支预算表'!I13+'[4]13)主营业务收支预算表'!I13+'[5]13)主营业务收支预算表'!I13</f>
        <v>0</v>
      </c>
      <c r="J13" s="11">
        <f>'[3]13)主营业务收支预算表'!J13+'[4]13)主营业务收支预算表'!J13+'[5]13)主营业务收支预算表'!J13</f>
        <v>0</v>
      </c>
      <c r="K13" s="11">
        <f>'[3]13)主营业务收支预算表'!K13+'[4]13)主营业务收支预算表'!K13+'[5]13)主营业务收支预算表'!K13</f>
        <v>0</v>
      </c>
      <c r="L13" s="41" t="e">
        <f t="shared" si="4"/>
        <v>#DIV/0!</v>
      </c>
      <c r="M13" s="5"/>
    </row>
    <row r="14" spans="1:13" ht="18.75" customHeight="1">
      <c r="A14" s="25" t="s">
        <v>609</v>
      </c>
      <c r="B14" s="11">
        <f>SUM(B15:B19)</f>
        <v>1009433.96</v>
      </c>
      <c r="C14" s="11">
        <f aca="true" t="shared" si="6" ref="C14:K14">SUM(C15:C19)</f>
        <v>2124468.85</v>
      </c>
      <c r="D14" s="11">
        <f t="shared" si="6"/>
        <v>142520.15</v>
      </c>
      <c r="E14" s="11">
        <f t="shared" si="2"/>
        <v>2266989</v>
      </c>
      <c r="F14" s="40">
        <f t="shared" si="0"/>
        <v>2.245802191953201</v>
      </c>
      <c r="G14" s="11">
        <f t="shared" si="5"/>
        <v>2712805.5849056602</v>
      </c>
      <c r="H14" s="11">
        <f t="shared" si="6"/>
        <v>785748.5660377359</v>
      </c>
      <c r="I14" s="11">
        <f t="shared" si="6"/>
        <v>642352.3396226416</v>
      </c>
      <c r="J14" s="11">
        <f t="shared" si="6"/>
        <v>642352.3396226416</v>
      </c>
      <c r="K14" s="11">
        <f t="shared" si="6"/>
        <v>642352.3396226416</v>
      </c>
      <c r="L14" s="41">
        <f t="shared" si="4"/>
        <v>1.1966558218437144</v>
      </c>
      <c r="M14" s="5"/>
    </row>
    <row r="15" spans="1:13" ht="18.75" customHeight="1">
      <c r="A15" s="25" t="s">
        <v>610</v>
      </c>
      <c r="B15" s="11">
        <f>'[3]13)主营业务收支预算表'!B15+'[4]13)主营业务收支预算表'!B15+'[5]13)主营业务收支预算表'!B15</f>
        <v>1009433.96</v>
      </c>
      <c r="C15" s="11">
        <f>'[3]13)主营业务收支预算表'!C15+'[4]13)主营业务收支预算表'!C15+'[5]13)主营业务收支预算表'!C15</f>
        <v>2124468.85</v>
      </c>
      <c r="D15" s="11">
        <f>'[3]13)主营业务收支预算表'!D15+'[4]13)主营业务收支预算表'!D15+'[5]13)主营业务收支预算表'!D15</f>
        <v>142520.15</v>
      </c>
      <c r="E15" s="11">
        <f t="shared" si="2"/>
        <v>2266989</v>
      </c>
      <c r="F15" s="40">
        <f t="shared" si="0"/>
        <v>2.245802191953201</v>
      </c>
      <c r="G15" s="11">
        <f t="shared" si="5"/>
        <v>2264150.9433962265</v>
      </c>
      <c r="H15" s="11">
        <f>'[3]13)主营业务收支预算表'!H15+'[4]13)主营业务收支预算表'!H15+'[5]13)主营业务收支预算表'!H15</f>
        <v>566037.7358490566</v>
      </c>
      <c r="I15" s="11">
        <f>'[3]13)主营业务收支预算表'!I15+'[4]13)主营业务收支预算表'!I15+'[5]13)主营业务收支预算表'!I15</f>
        <v>566037.7358490566</v>
      </c>
      <c r="J15" s="11">
        <f>'[3]13)主营业务收支预算表'!J15+'[4]13)主营业务收支预算表'!J15+'[5]13)主营业务收支预算表'!J15</f>
        <v>566037.7358490566</v>
      </c>
      <c r="K15" s="11">
        <f>'[3]13)主营业务收支预算表'!K15+'[4]13)主营业务收支预算表'!K15+'[5]13)主营业务收支预算表'!K15</f>
        <v>566037.7358490566</v>
      </c>
      <c r="L15" s="41">
        <f t="shared" si="4"/>
        <v>0.9987480942325818</v>
      </c>
      <c r="M15" s="5"/>
    </row>
    <row r="16" spans="1:13" ht="18.75" customHeight="1">
      <c r="A16" s="25" t="s">
        <v>611</v>
      </c>
      <c r="B16" s="11">
        <f>'[3]13)主营业务收支预算表'!B16+'[4]13)主营业务收支预算表'!B16+'[5]13)主营业务收支预算表'!B16</f>
        <v>0</v>
      </c>
      <c r="C16" s="11">
        <f>'[3]13)主营业务收支预算表'!C16+'[4]13)主营业务收支预算表'!C16+'[5]13)主营业务收支预算表'!C16</f>
        <v>0</v>
      </c>
      <c r="D16" s="11">
        <f>'[3]13)主营业务收支预算表'!D16+'[4]13)主营业务收支预算表'!D16+'[5]13)主营业务收支预算表'!D16</f>
        <v>0</v>
      </c>
      <c r="E16" s="11">
        <f t="shared" si="2"/>
        <v>0</v>
      </c>
      <c r="F16" s="40" t="e">
        <f t="shared" si="0"/>
        <v>#DIV/0!</v>
      </c>
      <c r="G16" s="26">
        <f t="shared" si="5"/>
        <v>0</v>
      </c>
      <c r="H16" s="11"/>
      <c r="I16" s="11"/>
      <c r="J16" s="11"/>
      <c r="K16" s="11"/>
      <c r="L16" s="41" t="e">
        <f t="shared" si="4"/>
        <v>#DIV/0!</v>
      </c>
      <c r="M16" s="5" t="s">
        <v>612</v>
      </c>
    </row>
    <row r="17" spans="1:13" ht="18.75" customHeight="1">
      <c r="A17" s="25" t="s">
        <v>613</v>
      </c>
      <c r="B17" s="11">
        <f>'[3]13)主营业务收支预算表'!B17+'[4]13)主营业务收支预算表'!B17+'[5]13)主营业务收支预算表'!B17</f>
        <v>0</v>
      </c>
      <c r="C17" s="11">
        <f>'[3]13)主营业务收支预算表'!C17+'[4]13)主营业务收支预算表'!C17+'[5]13)主营业务收支预算表'!C17</f>
        <v>0</v>
      </c>
      <c r="D17" s="11">
        <f>'[3]13)主营业务收支预算表'!D17+'[4]13)主营业务收支预算表'!D17+'[5]13)主营业务收支预算表'!D17</f>
        <v>0</v>
      </c>
      <c r="E17" s="11">
        <f t="shared" si="2"/>
        <v>0</v>
      </c>
      <c r="F17" s="40" t="e">
        <f t="shared" si="0"/>
        <v>#DIV/0!</v>
      </c>
      <c r="G17" s="11">
        <f t="shared" si="5"/>
        <v>143396.22641509434</v>
      </c>
      <c r="H17" s="11">
        <f>'[3]13)主营业务收支预算表'!H17+'[4]13)主营业务收支预算表'!H17+'[5]13)主营业务收支预算表'!H17</f>
        <v>143396.22641509434</v>
      </c>
      <c r="I17" s="11">
        <f>'[3]13)主营业务收支预算表'!I17+'[4]13)主营业务收支预算表'!I17+'[5]13)主营业务收支预算表'!I17</f>
        <v>0</v>
      </c>
      <c r="J17" s="11">
        <f>'[3]13)主营业务收支预算表'!J17+'[4]13)主营业务收支预算表'!J17+'[5]13)主营业务收支预算表'!J17</f>
        <v>0</v>
      </c>
      <c r="K17" s="11">
        <f>'[3]13)主营业务收支预算表'!K17+'[4]13)主营业务收支预算表'!K17+'[5]13)主营业务收支预算表'!K17</f>
        <v>0</v>
      </c>
      <c r="L17" s="41" t="e">
        <f t="shared" si="4"/>
        <v>#DIV/0!</v>
      </c>
      <c r="M17" s="5"/>
    </row>
    <row r="18" spans="1:13" ht="18.75" customHeight="1">
      <c r="A18" s="25" t="s">
        <v>614</v>
      </c>
      <c r="B18" s="11">
        <f>'[3]13)主营业务收支预算表'!B18+'[4]13)主营业务收支预算表'!B18+'[5]13)主营业务收支预算表'!B18</f>
        <v>0</v>
      </c>
      <c r="C18" s="11">
        <f>'[3]13)主营业务收支预算表'!C18+'[4]13)主营业务收支预算表'!C18+'[5]13)主营业务收支预算表'!C18</f>
        <v>0</v>
      </c>
      <c r="D18" s="11">
        <f>'[3]13)主营业务收支预算表'!D18+'[4]13)主营业务收支预算表'!D18+'[5]13)主营业务收支预算表'!D18</f>
        <v>0</v>
      </c>
      <c r="E18" s="11">
        <f t="shared" si="2"/>
        <v>0</v>
      </c>
      <c r="F18" s="40" t="e">
        <f t="shared" si="0"/>
        <v>#DIV/0!</v>
      </c>
      <c r="G18" s="11">
        <f t="shared" si="5"/>
        <v>305258.4150943396</v>
      </c>
      <c r="H18" s="11">
        <f>'[3]13)主营业务收支预算表'!H18+'[4]13)主营业务收支预算表'!H18+'[5]13)主营业务收支预算表'!H18</f>
        <v>76314.6037735849</v>
      </c>
      <c r="I18" s="11">
        <f>'[3]13)主营业务收支预算表'!I18+'[4]13)主营业务收支预算表'!I18+'[5]13)主营业务收支预算表'!I18</f>
        <v>76314.6037735849</v>
      </c>
      <c r="J18" s="11">
        <f>'[3]13)主营业务收支预算表'!J18+'[4]13)主营业务收支预算表'!J18+'[5]13)主营业务收支预算表'!J18</f>
        <v>76314.6037735849</v>
      </c>
      <c r="K18" s="11">
        <f>'[3]13)主营业务收支预算表'!K18+'[4]13)主营业务收支预算表'!K18+'[5]13)主营业务收支预算表'!K18</f>
        <v>76314.6037735849</v>
      </c>
      <c r="L18" s="41" t="e">
        <f t="shared" si="4"/>
        <v>#DIV/0!</v>
      </c>
      <c r="M18" s="5"/>
    </row>
    <row r="19" spans="1:13" ht="18.75" customHeight="1">
      <c r="A19" s="25"/>
      <c r="B19" s="11">
        <f>'[3]13)主营业务收支预算表'!B19+'[4]13)主营业务收支预算表'!B19+'[5]13)主营业务收支预算表'!B19</f>
        <v>0</v>
      </c>
      <c r="C19" s="11">
        <f>'[3]13)主营业务收支预算表'!C19+'[4]13)主营业务收支预算表'!C19+'[5]13)主营业务收支预算表'!C19</f>
        <v>0</v>
      </c>
      <c r="D19" s="11">
        <f>'[3]13)主营业务收支预算表'!D19+'[4]13)主营业务收支预算表'!D19+'[5]13)主营业务收支预算表'!D19</f>
        <v>0</v>
      </c>
      <c r="E19" s="11">
        <f t="shared" si="2"/>
        <v>0</v>
      </c>
      <c r="F19" s="40" t="e">
        <f t="shared" si="0"/>
        <v>#DIV/0!</v>
      </c>
      <c r="G19" s="11">
        <f t="shared" si="5"/>
        <v>0</v>
      </c>
      <c r="H19" s="11">
        <f>'[3]13)主营业务收支预算表'!H19+'[4]13)主营业务收支预算表'!H19+'[5]13)主营业务收支预算表'!H19</f>
        <v>0</v>
      </c>
      <c r="I19" s="11">
        <f>'[3]13)主营业务收支预算表'!I19+'[4]13)主营业务收支预算表'!I19+'[5]13)主营业务收支预算表'!I19</f>
        <v>0</v>
      </c>
      <c r="J19" s="11">
        <f>'[3]13)主营业务收支预算表'!J19+'[4]13)主营业务收支预算表'!J19+'[5]13)主营业务收支预算表'!J19</f>
        <v>0</v>
      </c>
      <c r="K19" s="11">
        <f>'[3]13)主营业务收支预算表'!K19+'[4]13)主营业务收支预算表'!K19+'[5]13)主营业务收支预算表'!K19</f>
        <v>0</v>
      </c>
      <c r="L19" s="41" t="e">
        <f t="shared" si="4"/>
        <v>#DIV/0!</v>
      </c>
      <c r="M19" s="5"/>
    </row>
    <row r="20" spans="1:13" ht="18.75" customHeight="1">
      <c r="A20" s="25" t="s">
        <v>615</v>
      </c>
      <c r="B20" s="11">
        <f>'[3]13)主营业务收支预算表'!B20+'[4]13)主营业务收支预算表'!B20+'[5]13)主营业务收支预算表'!B20</f>
        <v>0</v>
      </c>
      <c r="C20" s="11">
        <f>'[3]13)主营业务收支预算表'!C20+'[4]13)主营业务收支预算表'!C20+'[5]13)主营业务收支预算表'!C20</f>
        <v>0</v>
      </c>
      <c r="D20" s="11">
        <f>'[3]13)主营业务收支预算表'!D20+'[4]13)主营业务收支预算表'!D20+'[5]13)主营业务收支预算表'!D20</f>
        <v>0</v>
      </c>
      <c r="E20" s="11">
        <f t="shared" si="2"/>
        <v>0</v>
      </c>
      <c r="F20" s="40" t="e">
        <f t="shared" si="0"/>
        <v>#DIV/0!</v>
      </c>
      <c r="G20" s="11">
        <f t="shared" si="5"/>
        <v>0</v>
      </c>
      <c r="H20" s="11">
        <f>'[3]13)主营业务收支预算表'!H20+'[4]13)主营业务收支预算表'!H20+'[5]13)主营业务收支预算表'!H20</f>
        <v>0</v>
      </c>
      <c r="I20" s="11">
        <f>'[3]13)主营业务收支预算表'!I20+'[4]13)主营业务收支预算表'!I20+'[5]13)主营业务收支预算表'!I20</f>
        <v>0</v>
      </c>
      <c r="J20" s="11">
        <f>'[3]13)主营业务收支预算表'!J20+'[4]13)主营业务收支预算表'!J20+'[5]13)主营业务收支预算表'!J20</f>
        <v>0</v>
      </c>
      <c r="K20" s="11">
        <f>'[3]13)主营业务收支预算表'!K20+'[4]13)主营业务收支预算表'!K20+'[5]13)主营业务收支预算表'!K20</f>
        <v>0</v>
      </c>
      <c r="L20" s="41" t="e">
        <f t="shared" si="4"/>
        <v>#DIV/0!</v>
      </c>
      <c r="M20" s="5"/>
    </row>
    <row r="21" spans="1:13" ht="18.75" customHeight="1">
      <c r="A21" s="25" t="s">
        <v>616</v>
      </c>
      <c r="B21" s="11">
        <f>SUM(B22:B23)</f>
        <v>11280000</v>
      </c>
      <c r="C21" s="11">
        <f aca="true" t="shared" si="7" ref="C21:K21">SUM(C22:C23)</f>
        <v>8490566.07</v>
      </c>
      <c r="D21" s="11">
        <f t="shared" si="7"/>
        <v>2830188.69</v>
      </c>
      <c r="E21" s="11">
        <f t="shared" si="7"/>
        <v>11320754.76</v>
      </c>
      <c r="F21" s="40">
        <f t="shared" si="0"/>
        <v>1.0036130106382979</v>
      </c>
      <c r="G21" s="11">
        <f t="shared" si="5"/>
        <v>11320754.716981132</v>
      </c>
      <c r="H21" s="11">
        <f t="shared" si="7"/>
        <v>2830188.679245283</v>
      </c>
      <c r="I21" s="11">
        <f t="shared" si="7"/>
        <v>2830188.679245283</v>
      </c>
      <c r="J21" s="11">
        <f t="shared" si="7"/>
        <v>2830188.679245283</v>
      </c>
      <c r="K21" s="11">
        <f t="shared" si="7"/>
        <v>2830188.679245283</v>
      </c>
      <c r="L21" s="41">
        <f t="shared" si="4"/>
        <v>0.9999999962</v>
      </c>
      <c r="M21" s="5"/>
    </row>
    <row r="22" spans="1:13" ht="18.75" customHeight="1">
      <c r="A22" s="25" t="s">
        <v>617</v>
      </c>
      <c r="B22" s="11">
        <f>'[3]13)主营业务收支预算表'!B22+'[4]13)主营业务收支预算表'!B22+'[5]13)主营业务收支预算表'!B22</f>
        <v>11280000</v>
      </c>
      <c r="C22" s="11">
        <f>'[3]13)主营业务收支预算表'!C22+'[4]13)主营业务收支预算表'!C22+'[5]13)主营业务收支预算表'!C22</f>
        <v>8490566.07</v>
      </c>
      <c r="D22" s="11">
        <f>'[3]13)主营业务收支预算表'!D22+'[4]13)主营业务收支预算表'!D22+'[5]13)主营业务收支预算表'!D22</f>
        <v>2830188.69</v>
      </c>
      <c r="E22" s="11">
        <f aca="true" t="shared" si="8" ref="E22:E27">C22+D22</f>
        <v>11320754.76</v>
      </c>
      <c r="F22" s="40">
        <f t="shared" si="0"/>
        <v>1.0036130106382979</v>
      </c>
      <c r="G22" s="11">
        <f t="shared" si="5"/>
        <v>11320754.716981132</v>
      </c>
      <c r="H22" s="11">
        <f>'[3]13)主营业务收支预算表'!H22+'[4]13)主营业务收支预算表'!H22+'[5]13)主营业务收支预算表'!H22</f>
        <v>2830188.679245283</v>
      </c>
      <c r="I22" s="11">
        <f>'[3]13)主营业务收支预算表'!I22+'[4]13)主营业务收支预算表'!I22+'[5]13)主营业务收支预算表'!I22</f>
        <v>2830188.679245283</v>
      </c>
      <c r="J22" s="11">
        <f>'[3]13)主营业务收支预算表'!J22+'[4]13)主营业务收支预算表'!J22+'[5]13)主营业务收支预算表'!J22</f>
        <v>2830188.679245283</v>
      </c>
      <c r="K22" s="11">
        <f>'[3]13)主营业务收支预算表'!K22+'[4]13)主营业务收支预算表'!K22+'[5]13)主营业务收支预算表'!K22</f>
        <v>2830188.679245283</v>
      </c>
      <c r="L22" s="41">
        <f t="shared" si="4"/>
        <v>0.9999999962</v>
      </c>
      <c r="M22" s="5"/>
    </row>
    <row r="23" spans="1:13" ht="18.75" customHeight="1">
      <c r="A23" s="25" t="s">
        <v>618</v>
      </c>
      <c r="B23" s="11">
        <f>'[3]13)主营业务收支预算表'!B23+'[4]13)主营业务收支预算表'!B23+'[5]13)主营业务收支预算表'!B23</f>
        <v>0</v>
      </c>
      <c r="C23" s="11">
        <f>'[3]13)主营业务收支预算表'!C23+'[4]13)主营业务收支预算表'!C23+'[5]13)主营业务收支预算表'!C23</f>
        <v>0</v>
      </c>
      <c r="D23" s="11">
        <f>'[3]13)主营业务收支预算表'!D23+'[4]13)主营业务收支预算表'!D23+'[5]13)主营业务收支预算表'!D23</f>
        <v>0</v>
      </c>
      <c r="E23" s="11">
        <f t="shared" si="8"/>
        <v>0</v>
      </c>
      <c r="F23" s="40" t="e">
        <f t="shared" si="0"/>
        <v>#DIV/0!</v>
      </c>
      <c r="G23" s="11">
        <f t="shared" si="5"/>
        <v>0</v>
      </c>
      <c r="H23" s="11">
        <f>'[3]13)主营业务收支预算表'!H23+'[4]13)主营业务收支预算表'!H23+'[5]13)主营业务收支预算表'!H23</f>
        <v>0</v>
      </c>
      <c r="I23" s="11">
        <f>'[3]13)主营业务收支预算表'!I23+'[4]13)主营业务收支预算表'!I23+'[5]13)主营业务收支预算表'!I23</f>
        <v>0</v>
      </c>
      <c r="J23" s="11">
        <f>'[3]13)主营业务收支预算表'!J23+'[4]13)主营业务收支预算表'!J23+'[5]13)主营业务收支预算表'!J23</f>
        <v>0</v>
      </c>
      <c r="K23" s="11">
        <f>'[3]13)主营业务收支预算表'!K23+'[4]13)主营业务收支预算表'!K23+'[5]13)主营业务收支预算表'!K23</f>
        <v>0</v>
      </c>
      <c r="L23" s="41" t="e">
        <f t="shared" si="4"/>
        <v>#DIV/0!</v>
      </c>
      <c r="M23" s="5"/>
    </row>
    <row r="24" spans="1:13" ht="18.75" customHeight="1">
      <c r="A24" s="25" t="s">
        <v>619</v>
      </c>
      <c r="B24" s="11">
        <f>B25+B28+B32+B33+B39</f>
        <v>8046913.309999997</v>
      </c>
      <c r="C24" s="11">
        <f aca="true" t="shared" si="9" ref="C24:K24">C25+C28+C32+C33+C39</f>
        <v>5686759.039999999</v>
      </c>
      <c r="D24" s="11">
        <f t="shared" si="9"/>
        <v>686593.64</v>
      </c>
      <c r="E24" s="11">
        <f t="shared" si="9"/>
        <v>6373352.68</v>
      </c>
      <c r="F24" s="40">
        <f t="shared" si="0"/>
        <v>0.7920245235001795</v>
      </c>
      <c r="G24" s="11">
        <f aca="true" t="shared" si="10" ref="G24:G29">SUM(H24:K24)</f>
        <v>9010869.650253782</v>
      </c>
      <c r="H24" s="11">
        <f t="shared" si="9"/>
        <v>1999633.6949537816</v>
      </c>
      <c r="I24" s="11">
        <f t="shared" si="9"/>
        <v>2366245.0975</v>
      </c>
      <c r="J24" s="11">
        <f t="shared" si="9"/>
        <v>2341281.32545</v>
      </c>
      <c r="K24" s="11">
        <f t="shared" si="9"/>
        <v>2303709.53235</v>
      </c>
      <c r="L24" s="41">
        <f t="shared" si="4"/>
        <v>1.4138350884818416</v>
      </c>
      <c r="M24" s="5"/>
    </row>
    <row r="25" spans="1:13" ht="18.75" customHeight="1">
      <c r="A25" s="25" t="s">
        <v>620</v>
      </c>
      <c r="B25" s="11">
        <f>SUM(B26:B27)</f>
        <v>2104269.5700000003</v>
      </c>
      <c r="C25" s="11">
        <f aca="true" t="shared" si="11" ref="C25:K25">SUM(C26:C27)</f>
        <v>429724.67000000004</v>
      </c>
      <c r="D25" s="11">
        <f t="shared" si="11"/>
        <v>266408.23</v>
      </c>
      <c r="E25" s="11">
        <f t="shared" si="8"/>
        <v>696132.9</v>
      </c>
      <c r="F25" s="40">
        <f t="shared" si="0"/>
        <v>0.33081925905529297</v>
      </c>
      <c r="G25" s="11">
        <f t="shared" si="10"/>
        <v>2290824.0878</v>
      </c>
      <c r="H25" s="11">
        <f t="shared" si="11"/>
        <v>376467.115</v>
      </c>
      <c r="I25" s="11">
        <f t="shared" si="11"/>
        <v>715588.4199999999</v>
      </c>
      <c r="J25" s="11">
        <f t="shared" si="11"/>
        <v>550585.1729499999</v>
      </c>
      <c r="K25" s="11">
        <f t="shared" si="11"/>
        <v>648183.37985</v>
      </c>
      <c r="L25" s="41">
        <f t="shared" si="4"/>
        <v>3.2907855494259786</v>
      </c>
      <c r="M25" s="5"/>
    </row>
    <row r="26" spans="1:13" ht="18.75" customHeight="1">
      <c r="A26" s="25" t="s">
        <v>602</v>
      </c>
      <c r="B26" s="11">
        <f>'[3]13)主营业务收支预算表'!B26+'[4]13)主营业务收支预算表'!B26+'[5]13)主营业务收支预算表'!B26</f>
        <v>1604269.57</v>
      </c>
      <c r="C26" s="11">
        <f>'[3]13)主营业务收支预算表'!C26+'[4]13)主营业务收支预算表'!C26+'[5]13)主营业务收支预算表'!C26</f>
        <v>405721.28</v>
      </c>
      <c r="D26" s="11">
        <f>'[3]13)主营业务收支预算表'!D26+'[4]13)主营业务收支预算表'!D26+'[5]13)主营业务收支预算表'!D26</f>
        <v>564</v>
      </c>
      <c r="E26" s="11">
        <f t="shared" si="8"/>
        <v>406285.28</v>
      </c>
      <c r="F26" s="40">
        <f t="shared" si="0"/>
        <v>0.2532525004510308</v>
      </c>
      <c r="G26" s="11">
        <f t="shared" si="10"/>
        <v>1815680.50745</v>
      </c>
      <c r="H26" s="11">
        <f>'[3]13)主营业务收支预算表'!H26+'[4]13)主营业务收支预算表'!H26+'[5]13)主营业务收支预算表'!H26</f>
        <v>341530.395</v>
      </c>
      <c r="I26" s="11">
        <f>'[3]13)主营业务收支预算表'!I26+'[4]13)主营业务收支预算表'!I26+'[5]13)主营业务收支预算表'!I26</f>
        <v>693866.6699999999</v>
      </c>
      <c r="J26" s="11">
        <f>'[3]13)主营业务收支预算表'!J26+'[4]13)主营业务收支预算表'!J26+'[5]13)主营业务收支预算表'!J26</f>
        <v>528863.4229499999</v>
      </c>
      <c r="K26" s="11">
        <f>'[3]13)主营业务收支预算表'!K26+'[4]13)主营业务收支预算表'!K26+'[5]13)主营业务收支预算表'!K26</f>
        <v>251420.01950000002</v>
      </c>
      <c r="L26" s="41">
        <f t="shared" si="4"/>
        <v>4.468979303040464</v>
      </c>
      <c r="M26" s="5"/>
    </row>
    <row r="27" spans="1:13" ht="18.75" customHeight="1">
      <c r="A27" s="25" t="s">
        <v>603</v>
      </c>
      <c r="B27" s="11">
        <f>'[3]13)主营业务收支预算表'!B27+'[4]13)主营业务收支预算表'!B27+'[5]13)主营业务收支预算表'!B27</f>
        <v>500000</v>
      </c>
      <c r="C27" s="11">
        <f>'[3]13)主营业务收支预算表'!C27+'[4]13)主营业务收支预算表'!C27+'[5]13)主营业务收支预算表'!C27</f>
        <v>24003.39</v>
      </c>
      <c r="D27" s="11">
        <f>'[3]13)主营业务收支预算表'!D27+'[4]13)主营业务收支预算表'!D27+'[5]13)主营业务收支预算表'!D27</f>
        <v>265844.23</v>
      </c>
      <c r="E27" s="11">
        <f t="shared" si="8"/>
        <v>289847.62</v>
      </c>
      <c r="F27" s="40">
        <f t="shared" si="0"/>
        <v>0.57969524</v>
      </c>
      <c r="G27" s="11">
        <f t="shared" si="10"/>
        <v>475143.58034999995</v>
      </c>
      <c r="H27" s="11">
        <f>'[3]13)主营业务收支预算表'!H27+'[4]13)主营业务收支预算表'!H27+'[5]13)主营业务收支预算表'!H27</f>
        <v>34936.72</v>
      </c>
      <c r="I27" s="11">
        <f>'[3]13)主营业务收支预算表'!I27+'[4]13)主营业务收支预算表'!I27+'[5]13)主营业务收支预算表'!I27</f>
        <v>21721.75</v>
      </c>
      <c r="J27" s="11">
        <f>'[3]13)主营业务收支预算表'!J27+'[4]13)主营业务收支预算表'!J27+'[5]13)主营业务收支预算表'!J27</f>
        <v>21721.75</v>
      </c>
      <c r="K27" s="11">
        <f>'[3]13)主营业务收支预算表'!K27+'[4]13)主营业务收支预算表'!K27+'[5]13)主营业务收支预算表'!K27</f>
        <v>396763.36035</v>
      </c>
      <c r="L27" s="41">
        <f t="shared" si="4"/>
        <v>1.6392874999284106</v>
      </c>
      <c r="M27" s="5"/>
    </row>
    <row r="28" spans="1:13" ht="18.75" customHeight="1">
      <c r="A28" s="25" t="s">
        <v>621</v>
      </c>
      <c r="B28" s="26">
        <f>SUM(B29:B31)</f>
        <v>4862413.319999997</v>
      </c>
      <c r="C28" s="26">
        <f aca="true" t="shared" si="12" ref="C28:K28">SUM(C29:C31)</f>
        <v>3719074.1899999995</v>
      </c>
      <c r="D28" s="26">
        <f t="shared" si="12"/>
        <v>287507.62</v>
      </c>
      <c r="E28" s="26">
        <f t="shared" si="12"/>
        <v>4006581.8099999996</v>
      </c>
      <c r="F28" s="40">
        <f t="shared" si="0"/>
        <v>0.823990382207986</v>
      </c>
      <c r="G28" s="11">
        <f t="shared" si="10"/>
        <v>3985088.3524537813</v>
      </c>
      <c r="H28" s="26">
        <f t="shared" si="12"/>
        <v>849048.1724537816</v>
      </c>
      <c r="I28" s="26">
        <f t="shared" si="12"/>
        <v>983230.4100000001</v>
      </c>
      <c r="J28" s="26">
        <f t="shared" si="12"/>
        <v>1137509.885</v>
      </c>
      <c r="K28" s="26">
        <f t="shared" si="12"/>
        <v>1015299.885</v>
      </c>
      <c r="L28" s="41">
        <f t="shared" si="4"/>
        <v>0.9946354627047492</v>
      </c>
      <c r="M28" s="5"/>
    </row>
    <row r="29" spans="1:13" ht="18.75" customHeight="1">
      <c r="A29" s="25" t="s">
        <v>622</v>
      </c>
      <c r="B29" s="11">
        <f>'[3]13)主营业务收支预算表'!B29+'[4]13)主营业务收支预算表'!B29+'[5]13)主营业务收支预算表'!B29</f>
        <v>4632483.2399999965</v>
      </c>
      <c r="C29" s="11">
        <f>'[3]13)主营业务收支预算表'!C29+'[4]13)主营业务收支预算表'!C29+'[5]13)主营业务收支预算表'!C29</f>
        <v>3506806.1999999997</v>
      </c>
      <c r="D29" s="11">
        <f>'[3]13)主营业务收支预算表'!D29+'[4]13)主营业务收支预算表'!D29+'[5]13)主营业务收支预算表'!D29</f>
        <v>274162.62</v>
      </c>
      <c r="E29" s="11">
        <f aca="true" t="shared" si="13" ref="E29:E39">C29+D29</f>
        <v>3780968.82</v>
      </c>
      <c r="F29" s="40">
        <f t="shared" si="0"/>
        <v>0.8161861844102436</v>
      </c>
      <c r="G29" s="11">
        <f t="shared" si="10"/>
        <v>3985088.3524537813</v>
      </c>
      <c r="H29" s="11">
        <f>'[3]13)主营业务收支预算表'!H29+'[4]13)主营业务收支预算表'!H29+'[5]13)主营业务收支预算表'!H29</f>
        <v>849048.1724537816</v>
      </c>
      <c r="I29" s="11">
        <f>'[3]13)主营业务收支预算表'!I29+'[4]13)主营业务收支预算表'!I29+'[5]13)主营业务收支预算表'!I29</f>
        <v>983230.4100000001</v>
      </c>
      <c r="J29" s="11">
        <f>'[3]13)主营业务收支预算表'!J29+'[4]13)主营业务收支预算表'!J29+'[5]13)主营业务收支预算表'!J29</f>
        <v>1137509.885</v>
      </c>
      <c r="K29" s="11">
        <f>'[3]13)主营业务收支预算表'!K29+'[4]13)主营业务收支预算表'!K29+'[5]13)主营业务收支预算表'!K29</f>
        <v>1015299.885</v>
      </c>
      <c r="L29" s="41">
        <f t="shared" si="4"/>
        <v>1.053986039602882</v>
      </c>
      <c r="M29" s="5"/>
    </row>
    <row r="30" spans="1:13" ht="18.75" customHeight="1">
      <c r="A30" s="25" t="s">
        <v>623</v>
      </c>
      <c r="B30" s="11">
        <f>'[3]13)主营业务收支预算表'!B30+'[4]13)主营业务收支预算表'!B30+'[5]13)主营业务收支预算表'!B30</f>
        <v>229930.08</v>
      </c>
      <c r="C30" s="11">
        <f>'[3]13)主营业务收支预算表'!C30+'[4]13)主营业务收支预算表'!C30+'[5]13)主营业务收支预算表'!C30</f>
        <v>212267.99</v>
      </c>
      <c r="D30" s="11">
        <f>'[3]13)主营业务收支预算表'!D30+'[4]13)主营业务收支预算表'!D30+'[5]13)主营业务收支预算表'!D30</f>
        <v>13345</v>
      </c>
      <c r="E30" s="11">
        <f t="shared" si="13"/>
        <v>225612.99</v>
      </c>
      <c r="F30" s="40">
        <f aca="true" t="shared" si="14" ref="F30:F39">E30/B30</f>
        <v>0.9812243356763065</v>
      </c>
      <c r="G30" s="11">
        <f aca="true" t="shared" si="15" ref="G30:G39">SUM(H30:K30)</f>
        <v>0</v>
      </c>
      <c r="H30" s="11">
        <f>'[3]13)主营业务收支预算表'!H30+'[4]13)主营业务收支预算表'!H30+'[5]13)主营业务收支预算表'!H30</f>
        <v>0</v>
      </c>
      <c r="I30" s="11">
        <f>'[3]13)主营业务收支预算表'!I30+'[4]13)主营业务收支预算表'!I30+'[5]13)主营业务收支预算表'!I30</f>
        <v>0</v>
      </c>
      <c r="J30" s="11">
        <f>'[3]13)主营业务收支预算表'!J30+'[4]13)主营业务收支预算表'!J30+'[5]13)主营业务收支预算表'!J30</f>
        <v>0</v>
      </c>
      <c r="K30" s="11">
        <f>'[3]13)主营业务收支预算表'!K30+'[4]13)主营业务收支预算表'!K30+'[5]13)主营业务收支预算表'!K30</f>
        <v>0</v>
      </c>
      <c r="L30" s="41">
        <f aca="true" t="shared" si="16" ref="L30:L39">G30/E30</f>
        <v>0</v>
      </c>
      <c r="M30" s="5"/>
    </row>
    <row r="31" spans="1:13" ht="18.75" customHeight="1">
      <c r="A31" s="25" t="s">
        <v>624</v>
      </c>
      <c r="B31" s="11">
        <f>'[3]13)主营业务收支预算表'!B31+'[4]13)主营业务收支预算表'!B31+'[5]13)主营业务收支预算表'!B31</f>
        <v>0</v>
      </c>
      <c r="C31" s="11">
        <f>'[3]13)主营业务收支预算表'!C31+'[4]13)主营业务收支预算表'!C31+'[5]13)主营业务收支预算表'!C31</f>
        <v>0</v>
      </c>
      <c r="D31" s="11">
        <f>'[3]13)主营业务收支预算表'!D31+'[4]13)主营业务收支预算表'!D31+'[5]13)主营业务收支预算表'!D31</f>
        <v>0</v>
      </c>
      <c r="E31" s="11">
        <f t="shared" si="13"/>
        <v>0</v>
      </c>
      <c r="F31" s="40" t="e">
        <f t="shared" si="14"/>
        <v>#DIV/0!</v>
      </c>
      <c r="G31" s="11">
        <f t="shared" si="15"/>
        <v>0</v>
      </c>
      <c r="H31" s="11">
        <f>'[3]13)主营业务收支预算表'!H31+'[4]13)主营业务收支预算表'!H31+'[5]13)主营业务收支预算表'!H31</f>
        <v>0</v>
      </c>
      <c r="I31" s="11">
        <f>'[3]13)主营业务收支预算表'!I31+'[4]13)主营业务收支预算表'!I31+'[5]13)主营业务收支预算表'!I31</f>
        <v>0</v>
      </c>
      <c r="J31" s="11">
        <f>'[3]13)主营业务收支预算表'!J31+'[4]13)主营业务收支预算表'!J31+'[5]13)主营业务收支预算表'!J31</f>
        <v>0</v>
      </c>
      <c r="K31" s="11">
        <f>'[3]13)主营业务收支预算表'!K31+'[4]13)主营业务收支预算表'!K31+'[5]13)主营业务收支预算表'!K31</f>
        <v>0</v>
      </c>
      <c r="L31" s="41" t="e">
        <f t="shared" si="16"/>
        <v>#DIV/0!</v>
      </c>
      <c r="M31" s="5"/>
    </row>
    <row r="32" spans="1:13" ht="18.75" customHeight="1">
      <c r="A32" s="25" t="s">
        <v>625</v>
      </c>
      <c r="B32" s="11">
        <f>'[3]13)主营业务收支预算表'!B32+'[4]13)主营业务收支预算表'!B32+'[5]13)主营业务收支预算表'!B32</f>
        <v>0</v>
      </c>
      <c r="C32" s="11">
        <f>'[3]13)主营业务收支预算表'!C32+'[4]13)主营业务收支预算表'!C32+'[5]13)主营业务收支预算表'!C32</f>
        <v>0</v>
      </c>
      <c r="D32" s="11">
        <f>'[3]13)主营业务收支预算表'!D32+'[4]13)主营业务收支预算表'!D32+'[5]13)主营业务收支预算表'!D32</f>
        <v>0</v>
      </c>
      <c r="E32" s="11">
        <f t="shared" si="13"/>
        <v>0</v>
      </c>
      <c r="F32" s="40" t="e">
        <f t="shared" si="14"/>
        <v>#DIV/0!</v>
      </c>
      <c r="G32" s="11">
        <f t="shared" si="15"/>
        <v>0</v>
      </c>
      <c r="H32" s="11">
        <f>'[3]13)主营业务收支预算表'!H32+'[4]13)主营业务收支预算表'!H32+'[5]13)主营业务收支预算表'!H32</f>
        <v>0</v>
      </c>
      <c r="I32" s="11">
        <f>'[3]13)主营业务收支预算表'!I32+'[4]13)主营业务收支预算表'!I32+'[5]13)主营业务收支预算表'!I32</f>
        <v>0</v>
      </c>
      <c r="J32" s="11">
        <f>'[3]13)主营业务收支预算表'!J32+'[4]13)主营业务收支预算表'!J32+'[5]13)主营业务收支预算表'!J32</f>
        <v>0</v>
      </c>
      <c r="K32" s="11">
        <f>'[3]13)主营业务收支预算表'!K32+'[4]13)主营业务收支预算表'!K32+'[5]13)主营业务收支预算表'!K32</f>
        <v>0</v>
      </c>
      <c r="L32" s="41" t="e">
        <f t="shared" si="16"/>
        <v>#DIV/0!</v>
      </c>
      <c r="M32" s="5"/>
    </row>
    <row r="33" spans="1:13" ht="18.75" customHeight="1">
      <c r="A33" s="25" t="s">
        <v>626</v>
      </c>
      <c r="B33" s="11">
        <f>SUM(B34:B38)</f>
        <v>1080230.4200000002</v>
      </c>
      <c r="C33" s="11">
        <f aca="true" t="shared" si="17" ref="C33:K33">SUM(C34:C38)</f>
        <v>1537960.18</v>
      </c>
      <c r="D33" s="11">
        <f t="shared" si="17"/>
        <v>132677.79</v>
      </c>
      <c r="E33" s="11">
        <f t="shared" si="13"/>
        <v>1670637.97</v>
      </c>
      <c r="F33" s="40">
        <f t="shared" si="14"/>
        <v>1.546557048448978</v>
      </c>
      <c r="G33" s="11">
        <f t="shared" si="15"/>
        <v>2734957.21</v>
      </c>
      <c r="H33" s="11">
        <f t="shared" si="17"/>
        <v>774118.4075</v>
      </c>
      <c r="I33" s="11">
        <f t="shared" si="17"/>
        <v>667426.2675</v>
      </c>
      <c r="J33" s="11">
        <f t="shared" si="17"/>
        <v>653186.2675</v>
      </c>
      <c r="K33" s="11">
        <f t="shared" si="17"/>
        <v>640226.2675</v>
      </c>
      <c r="L33" s="41">
        <f t="shared" si="16"/>
        <v>1.6370735366442077</v>
      </c>
      <c r="M33" s="5"/>
    </row>
    <row r="34" spans="1:13" ht="18.75" customHeight="1">
      <c r="A34" s="25" t="s">
        <v>610</v>
      </c>
      <c r="B34" s="11">
        <f>'[3]13)主营业务收支预算表'!B34+'[4]13)主营业务收支预算表'!B34+'[5]13)主营业务收支预算表'!B34</f>
        <v>1080230.4200000002</v>
      </c>
      <c r="C34" s="11">
        <f>'[3]13)主营业务收支预算表'!C34+'[4]13)主营业务收支预算表'!C34+'[5]13)主营业务收支预算表'!C34</f>
        <v>984459.7999999999</v>
      </c>
      <c r="D34" s="11">
        <f>'[3]13)主营业务收支预算表'!D34+'[4]13)主营业务收支预算表'!D34+'[5]13)主营业务收支预算表'!D34</f>
        <v>77778.03</v>
      </c>
      <c r="E34" s="11">
        <f t="shared" si="13"/>
        <v>1062237.8299999998</v>
      </c>
      <c r="F34" s="40">
        <f t="shared" si="14"/>
        <v>0.9833437480866348</v>
      </c>
      <c r="G34" s="11">
        <f t="shared" si="15"/>
        <v>2312970.67</v>
      </c>
      <c r="H34" s="11">
        <f>'[3]13)主营业务收支预算表'!H34+'[4]13)主营业务收支预算表'!H34+'[5]13)主营业务收支预算表'!H34</f>
        <v>562382.6675</v>
      </c>
      <c r="I34" s="11">
        <f>'[3]13)主营业务收支预算表'!I34+'[4]13)主营业务收支预算表'!I34+'[5]13)主营业务收支预算表'!I34</f>
        <v>597342.6675</v>
      </c>
      <c r="J34" s="11">
        <f>'[3]13)主营业务收支预算表'!J34+'[4]13)主营业务收支预算表'!J34+'[5]13)主营业务收支预算表'!J34</f>
        <v>583102.6675</v>
      </c>
      <c r="K34" s="11">
        <f>'[3]13)主营业务收支预算表'!K34+'[4]13)主营业务收支预算表'!K34+'[5]13)主营业务收支预算表'!K34</f>
        <v>570142.6675</v>
      </c>
      <c r="L34" s="41">
        <f t="shared" si="16"/>
        <v>2.1774508539203508</v>
      </c>
      <c r="M34" s="5"/>
    </row>
    <row r="35" spans="1:13" ht="18.75" customHeight="1">
      <c r="A35" s="25" t="s">
        <v>611</v>
      </c>
      <c r="B35" s="11">
        <f>'[3]13)主营业务收支预算表'!B35+'[4]13)主营业务收支预算表'!B35+'[5]13)主营业务收支预算表'!B35</f>
        <v>0</v>
      </c>
      <c r="C35" s="11">
        <f>'[3]13)主营业务收支预算表'!C35+'[4]13)主营业务收支预算表'!C35+'[5]13)主营业务收支预算表'!C35</f>
        <v>174426.07</v>
      </c>
      <c r="D35" s="11">
        <f>'[3]13)主营业务收支预算表'!D35+'[4]13)主营业务收支预算表'!D35+'[5]13)主营业务收支预算表'!D35</f>
        <v>30000</v>
      </c>
      <c r="E35" s="11">
        <f t="shared" si="13"/>
        <v>204426.07</v>
      </c>
      <c r="F35" s="40" t="e">
        <f t="shared" si="14"/>
        <v>#DIV/0!</v>
      </c>
      <c r="G35" s="11">
        <f t="shared" si="15"/>
        <v>0</v>
      </c>
      <c r="H35" s="11"/>
      <c r="I35" s="11"/>
      <c r="J35" s="11"/>
      <c r="K35" s="11"/>
      <c r="L35" s="41">
        <f t="shared" si="16"/>
        <v>0</v>
      </c>
      <c r="M35" s="5"/>
    </row>
    <row r="36" spans="1:13" ht="18.75" customHeight="1">
      <c r="A36" s="25" t="s">
        <v>613</v>
      </c>
      <c r="B36" s="11">
        <f>'[3]13)主营业务收支预算表'!B36+'[4]13)主营业务收支预算表'!B36+'[5]13)主营业务收支预算表'!B36</f>
        <v>0</v>
      </c>
      <c r="C36" s="11">
        <f>'[3]13)主营业务收支预算表'!C36+'[4]13)主营业务收支预算表'!C36+'[5]13)主营业务收支预算表'!C36</f>
        <v>379074.31</v>
      </c>
      <c r="D36" s="11">
        <f>'[3]13)主营业务收支预算表'!D36+'[4]13)主营业务收支预算表'!D36+'[5]13)主营业务收支预算表'!D36</f>
        <v>24899.760000000002</v>
      </c>
      <c r="E36" s="11">
        <f t="shared" si="13"/>
        <v>403974.07</v>
      </c>
      <c r="F36" s="40" t="e">
        <f t="shared" si="14"/>
        <v>#DIV/0!</v>
      </c>
      <c r="G36" s="11">
        <f t="shared" si="15"/>
        <v>141652.14</v>
      </c>
      <c r="H36" s="11">
        <f>'[3]13)主营业务收支预算表'!H36+'[4]13)主营业务收支预算表'!H36+'[5]13)主营业务收支预算表'!H36</f>
        <v>141652.14</v>
      </c>
      <c r="I36" s="11">
        <f>'[3]13)主营业务收支预算表'!I36+'[4]13)主营业务收支预算表'!I36+'[5]13)主营业务收支预算表'!I36</f>
        <v>0</v>
      </c>
      <c r="J36" s="11">
        <f>'[3]13)主营业务收支预算表'!J36+'[4]13)主营业务收支预算表'!J36+'[5]13)主营业务收支预算表'!J36</f>
        <v>0</v>
      </c>
      <c r="K36" s="11">
        <f>'[3]13)主营业务收支预算表'!K36+'[4]13)主营业务收支预算表'!K36+'[5]13)主营业务收支预算表'!K36</f>
        <v>0</v>
      </c>
      <c r="L36" s="41">
        <f t="shared" si="16"/>
        <v>0.3506466145215707</v>
      </c>
      <c r="M36" s="5"/>
    </row>
    <row r="37" spans="1:13" ht="18.75" customHeight="1">
      <c r="A37" s="25" t="s">
        <v>614</v>
      </c>
      <c r="B37" s="11">
        <f>'[3]13)主营业务收支预算表'!B37+'[4]13)主营业务收支预算表'!B37+'[5]13)主营业务收支预算表'!B37</f>
        <v>0</v>
      </c>
      <c r="C37" s="11">
        <f>'[3]13)主营业务收支预算表'!C37+'[4]13)主营业务收支预算表'!C37+'[5]13)主营业务收支预算表'!C37</f>
        <v>0</v>
      </c>
      <c r="D37" s="11">
        <f>'[3]13)主营业务收支预算表'!D37+'[4]13)主营业务收支预算表'!D37+'[5]13)主营业务收支预算表'!D37</f>
        <v>0</v>
      </c>
      <c r="E37" s="11">
        <f t="shared" si="13"/>
        <v>0</v>
      </c>
      <c r="F37" s="40" t="e">
        <f t="shared" si="14"/>
        <v>#DIV/0!</v>
      </c>
      <c r="G37" s="11">
        <f t="shared" si="15"/>
        <v>280334.4</v>
      </c>
      <c r="H37" s="11">
        <f>'[3]13)主营业务收支预算表'!H37+'[4]13)主营业务收支预算表'!H37+'[5]13)主营业务收支预算表'!H37</f>
        <v>70083.6</v>
      </c>
      <c r="I37" s="11">
        <f>'[3]13)主营业务收支预算表'!I37+'[4]13)主营业务收支预算表'!I37+'[5]13)主营业务收支预算表'!I37</f>
        <v>70083.6</v>
      </c>
      <c r="J37" s="11">
        <f>'[3]13)主营业务收支预算表'!J37+'[4]13)主营业务收支预算表'!J37+'[5]13)主营业务收支预算表'!J37</f>
        <v>70083.6</v>
      </c>
      <c r="K37" s="11">
        <f>'[3]13)主营业务收支预算表'!K37+'[4]13)主营业务收支预算表'!K37+'[5]13)主营业务收支预算表'!K37</f>
        <v>70083.6</v>
      </c>
      <c r="L37" s="41" t="e">
        <f t="shared" si="16"/>
        <v>#DIV/0!</v>
      </c>
      <c r="M37" s="5"/>
    </row>
    <row r="38" spans="1:13" ht="18.75" customHeight="1">
      <c r="A38" s="25"/>
      <c r="B38" s="11">
        <f>'[3]13)主营业务收支预算表'!B38+'[4]13)主营业务收支预算表'!B38+'[5]13)主营业务收支预算表'!B38</f>
        <v>0</v>
      </c>
      <c r="C38" s="11">
        <f>'[3]13)主营业务收支预算表'!C38+'[4]13)主营业务收支预算表'!C38+'[5]13)主营业务收支预算表'!C38</f>
        <v>0</v>
      </c>
      <c r="D38" s="11">
        <f>'[3]13)主营业务收支预算表'!D38+'[4]13)主营业务收支预算表'!D38+'[5]13)主营业务收支预算表'!D38</f>
        <v>0</v>
      </c>
      <c r="E38" s="11">
        <f t="shared" si="13"/>
        <v>0</v>
      </c>
      <c r="F38" s="40" t="e">
        <f t="shared" si="14"/>
        <v>#DIV/0!</v>
      </c>
      <c r="G38" s="11">
        <f t="shared" si="15"/>
        <v>0</v>
      </c>
      <c r="H38" s="11">
        <f>'[3]13)主营业务收支预算表'!H38+'[4]13)主营业务收支预算表'!H38+'[5]13)主营业务收支预算表'!H38</f>
        <v>0</v>
      </c>
      <c r="I38" s="11">
        <f>'[3]13)主营业务收支预算表'!I38+'[4]13)主营业务收支预算表'!I38+'[5]13)主营业务收支预算表'!I38</f>
        <v>0</v>
      </c>
      <c r="J38" s="11">
        <f>'[3]13)主营业务收支预算表'!J38+'[4]13)主营业务收支预算表'!J38+'[5]13)主营业务收支预算表'!J38</f>
        <v>0</v>
      </c>
      <c r="K38" s="11">
        <f>'[3]13)主营业务收支预算表'!K38+'[4]13)主营业务收支预算表'!K38+'[5]13)主营业务收支预算表'!K38</f>
        <v>0</v>
      </c>
      <c r="L38" s="41" t="e">
        <f t="shared" si="16"/>
        <v>#DIV/0!</v>
      </c>
      <c r="M38" s="5"/>
    </row>
    <row r="39" spans="1:13" ht="18.75" customHeight="1">
      <c r="A39" s="25" t="s">
        <v>627</v>
      </c>
      <c r="B39" s="11">
        <f>'[3]13)主营业务收支预算表'!B39+'[4]13)主营业务收支预算表'!B39+'[5]13)主营业务收支预算表'!B49</f>
        <v>0</v>
      </c>
      <c r="C39" s="11">
        <f>'[3]13)主营业务收支预算表'!C39+'[4]13)主营业务收支预算表'!C39+'[5]13)主营业务收支预算表'!C39</f>
        <v>0</v>
      </c>
      <c r="D39" s="11">
        <f>'[3]13)主营业务收支预算表'!D39+'[4]13)主营业务收支预算表'!D39+'[5]13)主营业务收支预算表'!D39</f>
        <v>0</v>
      </c>
      <c r="E39" s="11">
        <f t="shared" si="13"/>
        <v>0</v>
      </c>
      <c r="F39" s="40" t="e">
        <f t="shared" si="14"/>
        <v>#DIV/0!</v>
      </c>
      <c r="G39" s="11">
        <f t="shared" si="15"/>
        <v>0</v>
      </c>
      <c r="H39" s="11">
        <f>'[3]13)主营业务收支预算表'!H39+'[4]13)主营业务收支预算表'!H39+'[5]13)主营业务收支预算表'!H39</f>
        <v>0</v>
      </c>
      <c r="I39" s="11">
        <f>'[3]13)主营业务收支预算表'!I39+'[4]13)主营业务收支预算表'!I39+'[5]13)主营业务收支预算表'!I39</f>
        <v>0</v>
      </c>
      <c r="J39" s="11">
        <f>'[3]13)主营业务收支预算表'!J39+'[4]13)主营业务收支预算表'!J39+'[5]13)主营业务收支预算表'!J39</f>
        <v>0</v>
      </c>
      <c r="K39" s="11">
        <f>'[3]13)主营业务收支预算表'!K39+'[4]13)主营业务收支预算表'!K39+'[5]13)主营业务收支预算表'!K39</f>
        <v>0</v>
      </c>
      <c r="L39" s="41" t="e">
        <f t="shared" si="16"/>
        <v>#DIV/0!</v>
      </c>
      <c r="M39" s="5"/>
    </row>
    <row r="40" spans="1:13" ht="18.75" customHeight="1">
      <c r="A40" s="25" t="s">
        <v>628</v>
      </c>
      <c r="B40" s="11"/>
      <c r="C40" s="21"/>
      <c r="D40" s="21"/>
      <c r="E40" s="11"/>
      <c r="F40" s="40"/>
      <c r="G40" s="11"/>
      <c r="H40" s="12"/>
      <c r="I40" s="12"/>
      <c r="J40" s="12"/>
      <c r="K40" s="12"/>
      <c r="L40" s="41"/>
      <c r="M40" s="5"/>
    </row>
    <row r="41" spans="1:13" ht="18.75" customHeight="1">
      <c r="A41" s="25" t="s">
        <v>628</v>
      </c>
      <c r="B41" s="11"/>
      <c r="C41" s="21"/>
      <c r="D41" s="21"/>
      <c r="E41" s="11"/>
      <c r="F41" s="40"/>
      <c r="G41" s="11"/>
      <c r="H41" s="12"/>
      <c r="I41" s="12"/>
      <c r="J41" s="12"/>
      <c r="K41" s="12"/>
      <c r="L41" s="41"/>
      <c r="M41" s="5"/>
    </row>
    <row r="42" spans="1:13" ht="18.75" customHeight="1">
      <c r="A42" s="25"/>
      <c r="B42" s="11"/>
      <c r="C42" s="21"/>
      <c r="D42" s="21"/>
      <c r="E42" s="11"/>
      <c r="F42" s="40"/>
      <c r="G42" s="11"/>
      <c r="H42" s="12"/>
      <c r="I42" s="12"/>
      <c r="J42" s="12"/>
      <c r="K42" s="12"/>
      <c r="L42" s="41"/>
      <c r="M42" s="5"/>
    </row>
    <row r="43" spans="1:13" ht="18" customHeight="1">
      <c r="A43" s="5"/>
      <c r="B43" s="5"/>
      <c r="C43" s="16"/>
      <c r="D43" s="4" t="s">
        <v>629</v>
      </c>
      <c r="E43" s="5"/>
      <c r="F43" s="5"/>
      <c r="G43" s="5"/>
      <c r="H43" s="16"/>
      <c r="I43" s="17" t="s">
        <v>630</v>
      </c>
      <c r="J43" s="5"/>
      <c r="K43" s="5"/>
      <c r="L43" s="5"/>
      <c r="M43" s="5"/>
    </row>
  </sheetData>
  <sheetProtection/>
  <mergeCells count="6">
    <mergeCell ref="A1:M1"/>
    <mergeCell ref="B3:F3"/>
    <mergeCell ref="G3:K3"/>
    <mergeCell ref="A3:A4"/>
    <mergeCell ref="L3:L4"/>
    <mergeCell ref="M3:M4"/>
  </mergeCells>
  <printOptions/>
  <pageMargins left="1.18" right="0.19" top="0.55" bottom="0.39" header="0.28" footer="0.16"/>
  <pageSetup fitToHeight="1" fitToWidth="1" horizontalDpi="300" verticalDpi="300" orientation="landscape" paperSize="9" scale="76"/>
</worksheet>
</file>

<file path=xl/worksheets/sheet14.xml><?xml version="1.0" encoding="utf-8"?>
<worksheet xmlns="http://schemas.openxmlformats.org/spreadsheetml/2006/main" xmlns:r="http://schemas.openxmlformats.org/officeDocument/2006/relationships">
  <sheetPr>
    <pageSetUpPr fitToPage="1"/>
  </sheetPr>
  <dimension ref="A1:M49"/>
  <sheetViews>
    <sheetView workbookViewId="0" topLeftCell="A5">
      <selection activeCell="A2" sqref="A2"/>
    </sheetView>
  </sheetViews>
  <sheetFormatPr defaultColWidth="9.140625" defaultRowHeight="12.75"/>
  <cols>
    <col min="1" max="1" width="30.28125" style="0" customWidth="1"/>
    <col min="2" max="2" width="13.140625" style="0" customWidth="1"/>
    <col min="3" max="3" width="10.7109375" style="0" customWidth="1"/>
    <col min="4" max="4" width="11.7109375" style="0" customWidth="1"/>
    <col min="5" max="6" width="10.7109375" style="0" customWidth="1"/>
    <col min="7" max="11" width="13.7109375" style="0" customWidth="1"/>
    <col min="12" max="13" width="10.7109375" style="0" customWidth="1"/>
  </cols>
  <sheetData>
    <row r="1" spans="1:13" ht="25.5" customHeight="1">
      <c r="A1" s="23" t="s">
        <v>631</v>
      </c>
      <c r="B1" s="23"/>
      <c r="C1" s="23" t="s">
        <v>598</v>
      </c>
      <c r="D1" s="23" t="s">
        <v>598</v>
      </c>
      <c r="E1" s="23" t="s">
        <v>598</v>
      </c>
      <c r="F1" s="23"/>
      <c r="G1" s="23" t="s">
        <v>598</v>
      </c>
      <c r="H1" s="23" t="s">
        <v>598</v>
      </c>
      <c r="I1" s="23" t="s">
        <v>598</v>
      </c>
      <c r="J1" s="23" t="s">
        <v>598</v>
      </c>
      <c r="K1" s="23" t="s">
        <v>598</v>
      </c>
      <c r="L1" s="23" t="s">
        <v>598</v>
      </c>
      <c r="M1" s="23" t="s">
        <v>598</v>
      </c>
    </row>
    <row r="2" spans="1:13" ht="18" customHeight="1">
      <c r="A2" s="106" t="s">
        <v>364</v>
      </c>
      <c r="B2" s="107"/>
      <c r="C2" s="45"/>
      <c r="D2" s="46"/>
      <c r="E2" s="47"/>
      <c r="F2" s="55"/>
      <c r="G2" s="24" t="s">
        <v>288</v>
      </c>
      <c r="H2" s="5"/>
      <c r="I2" s="5"/>
      <c r="J2" s="5"/>
      <c r="K2" s="5"/>
      <c r="L2" s="16" t="s">
        <v>599</v>
      </c>
      <c r="M2" s="5"/>
    </row>
    <row r="3" spans="1:13" ht="18" customHeight="1">
      <c r="A3" s="18" t="s">
        <v>290</v>
      </c>
      <c r="B3" s="90" t="s">
        <v>366</v>
      </c>
      <c r="C3" s="38"/>
      <c r="D3" s="38"/>
      <c r="E3" s="38"/>
      <c r="F3" s="39"/>
      <c r="G3" s="9" t="s">
        <v>292</v>
      </c>
      <c r="H3" s="9"/>
      <c r="I3" s="9" t="s">
        <v>292</v>
      </c>
      <c r="J3" s="9" t="s">
        <v>292</v>
      </c>
      <c r="K3" s="9" t="s">
        <v>292</v>
      </c>
      <c r="L3" s="9" t="s">
        <v>293</v>
      </c>
      <c r="M3" s="18" t="s">
        <v>33</v>
      </c>
    </row>
    <row r="4" spans="1:13" ht="18" customHeight="1">
      <c r="A4" s="18"/>
      <c r="B4" s="9" t="s">
        <v>294</v>
      </c>
      <c r="C4" s="9" t="s">
        <v>463</v>
      </c>
      <c r="D4" s="9" t="s">
        <v>296</v>
      </c>
      <c r="E4" s="9" t="s">
        <v>464</v>
      </c>
      <c r="F4" s="9" t="s">
        <v>299</v>
      </c>
      <c r="G4" s="9" t="s">
        <v>314</v>
      </c>
      <c r="H4" s="9" t="s">
        <v>324</v>
      </c>
      <c r="I4" s="9" t="s">
        <v>331</v>
      </c>
      <c r="J4" s="9" t="s">
        <v>334</v>
      </c>
      <c r="K4" s="9" t="s">
        <v>336</v>
      </c>
      <c r="L4" s="9" t="s">
        <v>293</v>
      </c>
      <c r="M4" s="18" t="s">
        <v>33</v>
      </c>
    </row>
    <row r="5" spans="1:13" ht="18" customHeight="1">
      <c r="A5" s="25" t="s">
        <v>632</v>
      </c>
      <c r="B5" s="11">
        <f aca="true" t="shared" si="0" ref="B5:K5">B6+B32+B43</f>
        <v>0</v>
      </c>
      <c r="C5" s="11">
        <f t="shared" si="0"/>
        <v>472319.99000000005</v>
      </c>
      <c r="D5" s="26">
        <f t="shared" si="0"/>
        <v>93809.43</v>
      </c>
      <c r="E5" s="11">
        <f t="shared" si="0"/>
        <v>566129.4199999999</v>
      </c>
      <c r="F5" s="40" t="e">
        <f aca="true" t="shared" si="1" ref="F5:F47">E5/B5</f>
        <v>#DIV/0!</v>
      </c>
      <c r="G5" s="11">
        <f t="shared" si="0"/>
        <v>3427467.8899999997</v>
      </c>
      <c r="H5" s="11">
        <f t="shared" si="0"/>
        <v>498341.98</v>
      </c>
      <c r="I5" s="11">
        <f t="shared" si="0"/>
        <v>654544.715</v>
      </c>
      <c r="J5" s="11">
        <f t="shared" si="0"/>
        <v>818794.715</v>
      </c>
      <c r="K5" s="11">
        <f t="shared" si="0"/>
        <v>1455786.4800000002</v>
      </c>
      <c r="L5" s="41">
        <f aca="true" t="shared" si="2" ref="L5:L47">G5/E5</f>
        <v>6.054212639223024</v>
      </c>
      <c r="M5" s="5"/>
    </row>
    <row r="6" spans="1:13" ht="18" customHeight="1">
      <c r="A6" s="25" t="s">
        <v>633</v>
      </c>
      <c r="B6" s="11">
        <f aca="true" t="shared" si="3" ref="B6:K6">B7+B26+B27</f>
        <v>0</v>
      </c>
      <c r="C6" s="11">
        <f t="shared" si="3"/>
        <v>399540.16000000003</v>
      </c>
      <c r="D6" s="26">
        <f t="shared" si="3"/>
        <v>87561</v>
      </c>
      <c r="E6" s="11">
        <f t="shared" si="3"/>
        <v>487101.16</v>
      </c>
      <c r="F6" s="40" t="e">
        <f t="shared" si="1"/>
        <v>#DIV/0!</v>
      </c>
      <c r="G6" s="11">
        <f t="shared" si="3"/>
        <v>3129155.8899999997</v>
      </c>
      <c r="H6" s="11">
        <f t="shared" si="3"/>
        <v>438865.38</v>
      </c>
      <c r="I6" s="11">
        <f t="shared" si="3"/>
        <v>623478.115</v>
      </c>
      <c r="J6" s="11">
        <f t="shared" si="3"/>
        <v>779728.115</v>
      </c>
      <c r="K6" s="11">
        <f t="shared" si="3"/>
        <v>1287084.28</v>
      </c>
      <c r="L6" s="41">
        <f t="shared" si="2"/>
        <v>6.424037031650673</v>
      </c>
      <c r="M6" s="5"/>
    </row>
    <row r="7" spans="1:13" ht="18" customHeight="1">
      <c r="A7" s="72" t="s">
        <v>634</v>
      </c>
      <c r="B7" s="11">
        <f aca="true" t="shared" si="4" ref="B7:K7">B8+B16+B20+B23+B24+B25</f>
        <v>0</v>
      </c>
      <c r="C7" s="11">
        <f t="shared" si="4"/>
        <v>0</v>
      </c>
      <c r="D7" s="26">
        <f t="shared" si="4"/>
        <v>0</v>
      </c>
      <c r="E7" s="11">
        <f t="shared" si="4"/>
        <v>0</v>
      </c>
      <c r="F7" s="40" t="e">
        <f t="shared" si="1"/>
        <v>#DIV/0!</v>
      </c>
      <c r="G7" s="11">
        <f t="shared" si="4"/>
        <v>530676.96</v>
      </c>
      <c r="H7" s="26">
        <f t="shared" si="4"/>
        <v>129438.74</v>
      </c>
      <c r="I7" s="26">
        <f t="shared" si="4"/>
        <v>137188.74</v>
      </c>
      <c r="J7" s="26">
        <f t="shared" si="4"/>
        <v>133938.74</v>
      </c>
      <c r="K7" s="26">
        <f t="shared" si="4"/>
        <v>130110.74</v>
      </c>
      <c r="L7" s="41" t="e">
        <f t="shared" si="2"/>
        <v>#DIV/0!</v>
      </c>
      <c r="M7" s="5"/>
    </row>
    <row r="8" spans="1:13" ht="18" customHeight="1">
      <c r="A8" s="72" t="s">
        <v>635</v>
      </c>
      <c r="B8" s="11">
        <f aca="true" t="shared" si="5" ref="B8:K8">B9+B10+B14+B15</f>
        <v>0</v>
      </c>
      <c r="C8" s="11">
        <f t="shared" si="5"/>
        <v>0</v>
      </c>
      <c r="D8" s="26">
        <f t="shared" si="5"/>
        <v>0</v>
      </c>
      <c r="E8" s="11">
        <f t="shared" si="5"/>
        <v>0</v>
      </c>
      <c r="F8" s="40" t="e">
        <f t="shared" si="1"/>
        <v>#DIV/0!</v>
      </c>
      <c r="G8" s="11">
        <f t="shared" si="5"/>
        <v>402152</v>
      </c>
      <c r="H8" s="26">
        <f t="shared" si="5"/>
        <v>98120</v>
      </c>
      <c r="I8" s="26">
        <f t="shared" si="5"/>
        <v>102620</v>
      </c>
      <c r="J8" s="26">
        <f t="shared" si="5"/>
        <v>102620</v>
      </c>
      <c r="K8" s="26">
        <f t="shared" si="5"/>
        <v>98792</v>
      </c>
      <c r="L8" s="41" t="e">
        <f t="shared" si="2"/>
        <v>#DIV/0!</v>
      </c>
      <c r="M8" s="5"/>
    </row>
    <row r="9" spans="1:13" ht="18" customHeight="1">
      <c r="A9" s="72" t="s">
        <v>636</v>
      </c>
      <c r="B9" s="11">
        <f>'13-1)生产成本预算表（322亩南瓜）'!B9+'13-1)生产成本预算表（3亩地瓜）'!B9+'13-1)生产成本预算表（3亩圣女果)'!B9+'13-1)生产成本预算表（55亩大棚) '!B9+'13-1)生产成本预算表（25亩鱼塘)'!B9+'13-1)生产成本预算表（138亩椰子)'!B9+'13-1)生产成本预算表（17亩菠萝)'!B9+'13-1)生产成本预算表（50亩南瓜)'!B9+'13-1)生产成本预算表（咸水鸭)'!B9</f>
        <v>0</v>
      </c>
      <c r="C9" s="11">
        <f>'13-1)生产成本预算表（322亩南瓜）'!C9+'13-1)生产成本预算表（3亩地瓜）'!C9+'13-1)生产成本预算表（3亩圣女果)'!C9+'13-1)生产成本预算表（55亩大棚) '!C9+'13-1)生产成本预算表（25亩鱼塘)'!C9+'13-1)生产成本预算表（138亩椰子)'!C9+'13-1)生产成本预算表（17亩菠萝)'!C9+'13-1)生产成本预算表（50亩南瓜)'!C9+'13-1)生产成本预算表（咸水鸭)'!C9</f>
        <v>0</v>
      </c>
      <c r="D9" s="11">
        <f>'13-1)生产成本预算表（322亩南瓜）'!D9+'13-1)生产成本预算表（3亩地瓜）'!D9+'13-1)生产成本预算表（3亩圣女果)'!D9+'13-1)生产成本预算表（55亩大棚) '!D9+'13-1)生产成本预算表（25亩鱼塘)'!D9+'13-1)生产成本预算表（138亩椰子)'!D9+'13-1)生产成本预算表（17亩菠萝)'!D9+'13-1)生产成本预算表（50亩南瓜)'!D9+'13-1)生产成本预算表（咸水鸭)'!D9</f>
        <v>0</v>
      </c>
      <c r="E9" s="11">
        <f aca="true" t="shared" si="6" ref="E9:E15">C9+D9</f>
        <v>0</v>
      </c>
      <c r="F9" s="40" t="e">
        <f t="shared" si="1"/>
        <v>#DIV/0!</v>
      </c>
      <c r="G9" s="11">
        <f aca="true" t="shared" si="7" ref="G9:G15">SUM(H9:K9)</f>
        <v>205920</v>
      </c>
      <c r="H9" s="11">
        <f>'13-1)生产成本预算表（322亩南瓜）'!H9+'13-1)生产成本预算表（3亩地瓜）'!H9+'13-1)生产成本预算表（3亩圣女果)'!H9+'13-1)生产成本预算表（55亩大棚) '!H9+'13-1)生产成本预算表（25亩鱼塘)'!H9+'13-1)生产成本预算表（138亩椰子)'!H9+'13-1)生产成本预算表（17亩菠萝)'!H9+'13-1)生产成本预算表（50亩南瓜)'!H9+'13-1)生产成本预算表（咸水鸭)'!H9</f>
        <v>51480</v>
      </c>
      <c r="I9" s="11">
        <f>'13-1)生产成本预算表（322亩南瓜）'!I9+'13-1)生产成本预算表（3亩地瓜）'!I9+'13-1)生产成本预算表（3亩圣女果)'!I9+'13-1)生产成本预算表（55亩大棚) '!I9+'13-1)生产成本预算表（25亩鱼塘)'!I9+'13-1)生产成本预算表（138亩椰子)'!I9+'13-1)生产成本预算表（17亩菠萝)'!I9+'13-1)生产成本预算表（50亩南瓜)'!I9+'13-1)生产成本预算表（咸水鸭)'!I9</f>
        <v>51480</v>
      </c>
      <c r="J9" s="11">
        <f>'13-1)生产成本预算表（322亩南瓜）'!J9+'13-1)生产成本预算表（3亩地瓜）'!J9+'13-1)生产成本预算表（3亩圣女果)'!J9+'13-1)生产成本预算表（55亩大棚) '!J9+'13-1)生产成本预算表（25亩鱼塘)'!J9+'13-1)生产成本预算表（138亩椰子)'!J9+'13-1)生产成本预算表（17亩菠萝)'!J9+'13-1)生产成本预算表（50亩南瓜)'!J9+'13-1)生产成本预算表（咸水鸭)'!J9</f>
        <v>51480</v>
      </c>
      <c r="K9" s="11">
        <f>'13-1)生产成本预算表（322亩南瓜）'!K9+'13-1)生产成本预算表（3亩地瓜）'!K9+'13-1)生产成本预算表（3亩圣女果)'!K9+'13-1)生产成本预算表（55亩大棚) '!K9+'13-1)生产成本预算表（25亩鱼塘)'!K9+'13-1)生产成本预算表（138亩椰子)'!K9+'13-1)生产成本预算表（17亩菠萝)'!K9+'13-1)生产成本预算表（50亩南瓜)'!K9+'13-1)生产成本预算表（咸水鸭)'!K9</f>
        <v>51480</v>
      </c>
      <c r="L9" s="41" t="e">
        <f t="shared" si="2"/>
        <v>#DIV/0!</v>
      </c>
      <c r="M9" s="5"/>
    </row>
    <row r="10" spans="1:13" ht="18" customHeight="1">
      <c r="A10" s="72" t="s">
        <v>637</v>
      </c>
      <c r="B10" s="11">
        <f aca="true" t="shared" si="8" ref="B10:K10">SUM(B11:B13)</f>
        <v>0</v>
      </c>
      <c r="C10" s="11">
        <f t="shared" si="8"/>
        <v>0</v>
      </c>
      <c r="D10" s="26">
        <f t="shared" si="8"/>
        <v>0</v>
      </c>
      <c r="E10" s="11">
        <f t="shared" si="8"/>
        <v>0</v>
      </c>
      <c r="F10" s="40" t="e">
        <f t="shared" si="1"/>
        <v>#DIV/0!</v>
      </c>
      <c r="G10" s="11">
        <f t="shared" si="8"/>
        <v>152240</v>
      </c>
      <c r="H10" s="26">
        <f t="shared" si="8"/>
        <v>38060</v>
      </c>
      <c r="I10" s="26">
        <f t="shared" si="8"/>
        <v>38060</v>
      </c>
      <c r="J10" s="26">
        <f t="shared" si="8"/>
        <v>38060</v>
      </c>
      <c r="K10" s="26">
        <f t="shared" si="8"/>
        <v>38060</v>
      </c>
      <c r="L10" s="41" t="e">
        <f t="shared" si="2"/>
        <v>#DIV/0!</v>
      </c>
      <c r="M10" s="5"/>
    </row>
    <row r="11" spans="1:13" ht="18" customHeight="1">
      <c r="A11" s="75" t="s">
        <v>638</v>
      </c>
      <c r="B11" s="11">
        <f>'13-1)生产成本预算表（322亩南瓜）'!B11+'13-1)生产成本预算表（3亩地瓜）'!B11+'13-1)生产成本预算表（3亩圣女果)'!B11+'13-1)生产成本预算表（55亩大棚) '!B11+'13-1)生产成本预算表（25亩鱼塘)'!B11+'13-1)生产成本预算表（138亩椰子)'!B11+'13-1)生产成本预算表（17亩菠萝)'!B11+'13-1)生产成本预算表（50亩南瓜)'!B11+'13-1)生产成本预算表（咸水鸭)'!B11</f>
        <v>0</v>
      </c>
      <c r="C11" s="11">
        <f>'13-1)生产成本预算表（322亩南瓜）'!C11+'13-1)生产成本预算表（3亩地瓜）'!C11+'13-1)生产成本预算表（3亩圣女果)'!C11+'13-1)生产成本预算表（55亩大棚) '!C11+'13-1)生产成本预算表（25亩鱼塘)'!C11+'13-1)生产成本预算表（138亩椰子)'!C11+'13-1)生产成本预算表（17亩菠萝)'!C11+'13-1)生产成本预算表（50亩南瓜)'!C11+'13-1)生产成本预算表（咸水鸭)'!C11</f>
        <v>0</v>
      </c>
      <c r="D11" s="11">
        <f>'13-1)生产成本预算表（322亩南瓜）'!D11+'13-1)生产成本预算表（3亩地瓜）'!D11+'13-1)生产成本预算表（3亩圣女果)'!D11+'13-1)生产成本预算表（55亩大棚) '!D11+'13-1)生产成本预算表（25亩鱼塘)'!D11+'13-1)生产成本预算表（138亩椰子)'!D11+'13-1)生产成本预算表（17亩菠萝)'!D11+'13-1)生产成本预算表（50亩南瓜)'!D11+'13-1)生产成本预算表（咸水鸭)'!D11</f>
        <v>0</v>
      </c>
      <c r="E11" s="11">
        <f t="shared" si="6"/>
        <v>0</v>
      </c>
      <c r="F11" s="40" t="e">
        <f t="shared" si="1"/>
        <v>#DIV/0!</v>
      </c>
      <c r="G11" s="11">
        <f t="shared" si="7"/>
        <v>0</v>
      </c>
      <c r="H11" s="11">
        <f>'13-1)生产成本预算表（322亩南瓜）'!H11+'13-1)生产成本预算表（3亩地瓜）'!H11+'13-1)生产成本预算表（3亩圣女果)'!H11+'13-1)生产成本预算表（55亩大棚) '!H11+'13-1)生产成本预算表（25亩鱼塘)'!H11+'13-1)生产成本预算表（138亩椰子)'!H11+'13-1)生产成本预算表（17亩菠萝)'!H11+'13-1)生产成本预算表（50亩南瓜)'!H11+'13-1)生产成本预算表（咸水鸭)'!H11</f>
        <v>0</v>
      </c>
      <c r="I11" s="11">
        <f>'13-1)生产成本预算表（322亩南瓜）'!I11+'13-1)生产成本预算表（3亩地瓜）'!I11+'13-1)生产成本预算表（3亩圣女果)'!I11+'13-1)生产成本预算表（55亩大棚) '!I11+'13-1)生产成本预算表（25亩鱼塘)'!I11+'13-1)生产成本预算表（138亩椰子)'!I11+'13-1)生产成本预算表（17亩菠萝)'!I11+'13-1)生产成本预算表（50亩南瓜)'!I11+'13-1)生产成本预算表（咸水鸭)'!I11</f>
        <v>0</v>
      </c>
      <c r="J11" s="11">
        <f>'13-1)生产成本预算表（322亩南瓜）'!J11+'13-1)生产成本预算表（3亩地瓜）'!J11+'13-1)生产成本预算表（3亩圣女果)'!J11+'13-1)生产成本预算表（55亩大棚) '!J11+'13-1)生产成本预算表（25亩鱼塘)'!J11+'13-1)生产成本预算表（138亩椰子)'!J11+'13-1)生产成本预算表（17亩菠萝)'!J11+'13-1)生产成本预算表（50亩南瓜)'!J11+'13-1)生产成本预算表（咸水鸭)'!J11</f>
        <v>0</v>
      </c>
      <c r="K11" s="11">
        <f>'13-1)生产成本预算表（322亩南瓜）'!K11+'13-1)生产成本预算表（3亩地瓜）'!K11+'13-1)生产成本预算表（3亩圣女果)'!K11+'13-1)生产成本预算表（55亩大棚) '!K11+'13-1)生产成本预算表（25亩鱼塘)'!K11+'13-1)生产成本预算表（138亩椰子)'!K11+'13-1)生产成本预算表（17亩菠萝)'!K11+'13-1)生产成本预算表（50亩南瓜)'!K11+'13-1)生产成本预算表（咸水鸭)'!K11</f>
        <v>0</v>
      </c>
      <c r="L11" s="41" t="e">
        <f t="shared" si="2"/>
        <v>#DIV/0!</v>
      </c>
      <c r="M11" s="5"/>
    </row>
    <row r="12" spans="1:13" ht="18" customHeight="1">
      <c r="A12" s="75" t="s">
        <v>639</v>
      </c>
      <c r="B12" s="11">
        <f>'13-1)生产成本预算表（322亩南瓜）'!B12+'13-1)生产成本预算表（3亩地瓜）'!B12+'13-1)生产成本预算表（3亩圣女果)'!B12+'13-1)生产成本预算表（55亩大棚) '!B12+'13-1)生产成本预算表（25亩鱼塘)'!B12+'13-1)生产成本预算表（138亩椰子)'!B12+'13-1)生产成本预算表（17亩菠萝)'!B12+'13-1)生产成本预算表（50亩南瓜)'!B12+'13-1)生产成本预算表（咸水鸭)'!B12</f>
        <v>0</v>
      </c>
      <c r="C12" s="11">
        <f>'13-1)生产成本预算表（322亩南瓜）'!C12+'13-1)生产成本预算表（3亩地瓜）'!C12+'13-1)生产成本预算表（3亩圣女果)'!C12+'13-1)生产成本预算表（55亩大棚) '!C12+'13-1)生产成本预算表（25亩鱼塘)'!C12+'13-1)生产成本预算表（138亩椰子)'!C12+'13-1)生产成本预算表（17亩菠萝)'!C12+'13-1)生产成本预算表（50亩南瓜)'!C12+'13-1)生产成本预算表（咸水鸭)'!C12</f>
        <v>0</v>
      </c>
      <c r="D12" s="11">
        <f>'13-1)生产成本预算表（322亩南瓜）'!D12+'13-1)生产成本预算表（3亩地瓜）'!D12+'13-1)生产成本预算表（3亩圣女果)'!D12+'13-1)生产成本预算表（55亩大棚) '!D12+'13-1)生产成本预算表（25亩鱼塘)'!D12+'13-1)生产成本预算表（138亩椰子)'!D12+'13-1)生产成本预算表（17亩菠萝)'!D12+'13-1)生产成本预算表（50亩南瓜)'!D12+'13-1)生产成本预算表（咸水鸭)'!D12</f>
        <v>0</v>
      </c>
      <c r="E12" s="11">
        <f t="shared" si="6"/>
        <v>0</v>
      </c>
      <c r="F12" s="40" t="e">
        <f t="shared" si="1"/>
        <v>#DIV/0!</v>
      </c>
      <c r="G12" s="11">
        <f t="shared" si="7"/>
        <v>55200</v>
      </c>
      <c r="H12" s="11">
        <f>'13-1)生产成本预算表（322亩南瓜）'!H12+'13-1)生产成本预算表（3亩地瓜）'!H12+'13-1)生产成本预算表（3亩圣女果)'!H12+'13-1)生产成本预算表（55亩大棚) '!H12+'13-1)生产成本预算表（25亩鱼塘)'!H12+'13-1)生产成本预算表（138亩椰子)'!H12+'13-1)生产成本预算表（17亩菠萝)'!H12+'13-1)生产成本预算表（50亩南瓜)'!H12+'13-1)生产成本预算表（咸水鸭)'!H12</f>
        <v>13800</v>
      </c>
      <c r="I12" s="11">
        <f>'13-1)生产成本预算表（322亩南瓜）'!I12+'13-1)生产成本预算表（3亩地瓜）'!I12+'13-1)生产成本预算表（3亩圣女果)'!I12+'13-1)生产成本预算表（55亩大棚) '!I12+'13-1)生产成本预算表（25亩鱼塘)'!I12+'13-1)生产成本预算表（138亩椰子)'!I12+'13-1)生产成本预算表（17亩菠萝)'!I12+'13-1)生产成本预算表（50亩南瓜)'!I12+'13-1)生产成本预算表（咸水鸭)'!I12</f>
        <v>13800</v>
      </c>
      <c r="J12" s="11">
        <f>'13-1)生产成本预算表（322亩南瓜）'!J12+'13-1)生产成本预算表（3亩地瓜）'!J12+'13-1)生产成本预算表（3亩圣女果)'!J12+'13-1)生产成本预算表（55亩大棚) '!J12+'13-1)生产成本预算表（25亩鱼塘)'!J12+'13-1)生产成本预算表（138亩椰子)'!J12+'13-1)生产成本预算表（17亩菠萝)'!J12+'13-1)生产成本预算表（50亩南瓜)'!J12+'13-1)生产成本预算表（咸水鸭)'!J12</f>
        <v>13800</v>
      </c>
      <c r="K12" s="11">
        <f>'13-1)生产成本预算表（322亩南瓜）'!K12+'13-1)生产成本预算表（3亩地瓜）'!K12+'13-1)生产成本预算表（3亩圣女果)'!K12+'13-1)生产成本预算表（55亩大棚) '!K12+'13-1)生产成本预算表（25亩鱼塘)'!K12+'13-1)生产成本预算表（138亩椰子)'!K12+'13-1)生产成本预算表（17亩菠萝)'!K12+'13-1)生产成本预算表（50亩南瓜)'!K12+'13-1)生产成本预算表（咸水鸭)'!K12</f>
        <v>13800</v>
      </c>
      <c r="L12" s="41" t="e">
        <f t="shared" si="2"/>
        <v>#DIV/0!</v>
      </c>
      <c r="M12" s="5"/>
    </row>
    <row r="13" spans="1:13" ht="18" customHeight="1">
      <c r="A13" s="75" t="s">
        <v>640</v>
      </c>
      <c r="B13" s="11">
        <f>'13-1)生产成本预算表（322亩南瓜）'!B13+'13-1)生产成本预算表（3亩地瓜）'!B13+'13-1)生产成本预算表（3亩圣女果)'!B13+'13-1)生产成本预算表（55亩大棚) '!B13+'13-1)生产成本预算表（25亩鱼塘)'!B13+'13-1)生产成本预算表（138亩椰子)'!B13+'13-1)生产成本预算表（17亩菠萝)'!B13+'13-1)生产成本预算表（50亩南瓜)'!B13+'13-1)生产成本预算表（咸水鸭)'!B13</f>
        <v>0</v>
      </c>
      <c r="C13" s="11">
        <f>'13-1)生产成本预算表（322亩南瓜）'!C13+'13-1)生产成本预算表（3亩地瓜）'!C13+'13-1)生产成本预算表（3亩圣女果)'!C13+'13-1)生产成本预算表（55亩大棚) '!C13+'13-1)生产成本预算表（25亩鱼塘)'!C13+'13-1)生产成本预算表（138亩椰子)'!C13+'13-1)生产成本预算表（17亩菠萝)'!C13+'13-1)生产成本预算表（50亩南瓜)'!C13+'13-1)生产成本预算表（咸水鸭)'!C13</f>
        <v>0</v>
      </c>
      <c r="D13" s="11">
        <f>'13-1)生产成本预算表（322亩南瓜）'!D13+'13-1)生产成本预算表（3亩地瓜）'!D13+'13-1)生产成本预算表（3亩圣女果)'!D13+'13-1)生产成本预算表（55亩大棚) '!D13+'13-1)生产成本预算表（25亩鱼塘)'!D13+'13-1)生产成本预算表（138亩椰子)'!D13+'13-1)生产成本预算表（17亩菠萝)'!D13+'13-1)生产成本预算表（50亩南瓜)'!D13+'13-1)生产成本预算表（咸水鸭)'!D13</f>
        <v>0</v>
      </c>
      <c r="E13" s="11">
        <f t="shared" si="6"/>
        <v>0</v>
      </c>
      <c r="F13" s="40" t="e">
        <f t="shared" si="1"/>
        <v>#DIV/0!</v>
      </c>
      <c r="G13" s="11">
        <f t="shared" si="7"/>
        <v>97040</v>
      </c>
      <c r="H13" s="11">
        <f>'13-1)生产成本预算表（322亩南瓜）'!H13+'13-1)生产成本预算表（3亩地瓜）'!H13+'13-1)生产成本预算表（3亩圣女果)'!H13+'13-1)生产成本预算表（55亩大棚) '!H13+'13-1)生产成本预算表（25亩鱼塘)'!H13+'13-1)生产成本预算表（138亩椰子)'!H13+'13-1)生产成本预算表（17亩菠萝)'!H13+'13-1)生产成本预算表（50亩南瓜)'!H13+'13-1)生产成本预算表（咸水鸭)'!H13</f>
        <v>24260</v>
      </c>
      <c r="I13" s="11">
        <f>'13-1)生产成本预算表（322亩南瓜）'!I13+'13-1)生产成本预算表（3亩地瓜）'!I13+'13-1)生产成本预算表（3亩圣女果)'!I13+'13-1)生产成本预算表（55亩大棚) '!I13+'13-1)生产成本预算表（25亩鱼塘)'!I13+'13-1)生产成本预算表（138亩椰子)'!I13+'13-1)生产成本预算表（17亩菠萝)'!I13+'13-1)生产成本预算表（50亩南瓜)'!I13+'13-1)生产成本预算表（咸水鸭)'!I13</f>
        <v>24260</v>
      </c>
      <c r="J13" s="11">
        <f>'13-1)生产成本预算表（322亩南瓜）'!J13+'13-1)生产成本预算表（3亩地瓜）'!J13+'13-1)生产成本预算表（3亩圣女果)'!J13+'13-1)生产成本预算表（55亩大棚) '!J13+'13-1)生产成本预算表（25亩鱼塘)'!J13+'13-1)生产成本预算表（138亩椰子)'!J13+'13-1)生产成本预算表（17亩菠萝)'!J13+'13-1)生产成本预算表（50亩南瓜)'!J13+'13-1)生产成本预算表（咸水鸭)'!J13</f>
        <v>24260</v>
      </c>
      <c r="K13" s="11">
        <f>'13-1)生产成本预算表（322亩南瓜）'!K13+'13-1)生产成本预算表（3亩地瓜）'!K13+'13-1)生产成本预算表（3亩圣女果)'!K13+'13-1)生产成本预算表（55亩大棚) '!K13+'13-1)生产成本预算表（25亩鱼塘)'!K13+'13-1)生产成本预算表（138亩椰子)'!K13+'13-1)生产成本预算表（17亩菠萝)'!K13+'13-1)生产成本预算表（50亩南瓜)'!K13+'13-1)生产成本预算表（咸水鸭)'!K13</f>
        <v>24260</v>
      </c>
      <c r="L13" s="41" t="e">
        <f t="shared" si="2"/>
        <v>#DIV/0!</v>
      </c>
      <c r="M13" s="5"/>
    </row>
    <row r="14" spans="1:13" ht="18" customHeight="1">
      <c r="A14" s="72" t="s">
        <v>641</v>
      </c>
      <c r="B14" s="11">
        <f>'13-1)生产成本预算表（322亩南瓜）'!B14+'13-1)生产成本预算表（3亩地瓜）'!B14+'13-1)生产成本预算表（3亩圣女果)'!B14+'13-1)生产成本预算表（55亩大棚) '!B14+'13-1)生产成本预算表（25亩鱼塘)'!B14+'13-1)生产成本预算表（138亩椰子)'!B14+'13-1)生产成本预算表（17亩菠萝)'!B14+'13-1)生产成本预算表（50亩南瓜)'!B14+'13-1)生产成本预算表（咸水鸭)'!B14</f>
        <v>0</v>
      </c>
      <c r="C14" s="11">
        <f>'13-1)生产成本预算表（322亩南瓜）'!C14+'13-1)生产成本预算表（3亩地瓜）'!C14+'13-1)生产成本预算表（3亩圣女果)'!C14+'13-1)生产成本预算表（55亩大棚) '!C14+'13-1)生产成本预算表（25亩鱼塘)'!C14+'13-1)生产成本预算表（138亩椰子)'!C14+'13-1)生产成本预算表（17亩菠萝)'!C14+'13-1)生产成本预算表（50亩南瓜)'!C14+'13-1)生产成本预算表（咸水鸭)'!C14</f>
        <v>0</v>
      </c>
      <c r="D14" s="11">
        <f>'13-1)生产成本预算表（322亩南瓜）'!D14+'13-1)生产成本预算表（3亩地瓜）'!D14+'13-1)生产成本预算表（3亩圣女果)'!D14+'13-1)生产成本预算表（55亩大棚) '!D14+'13-1)生产成本预算表（25亩鱼塘)'!D14+'13-1)生产成本预算表（138亩椰子)'!D14+'13-1)生产成本预算表（17亩菠萝)'!D14+'13-1)生产成本预算表（50亩南瓜)'!D14+'13-1)生产成本预算表（咸水鸭)'!D14</f>
        <v>0</v>
      </c>
      <c r="E14" s="11">
        <f t="shared" si="6"/>
        <v>0</v>
      </c>
      <c r="F14" s="40" t="e">
        <f t="shared" si="1"/>
        <v>#DIV/0!</v>
      </c>
      <c r="G14" s="11">
        <f t="shared" si="7"/>
        <v>43992</v>
      </c>
      <c r="H14" s="11">
        <f>'13-1)生产成本预算表（322亩南瓜）'!H14+'13-1)生产成本预算表（3亩地瓜）'!H14+'13-1)生产成本预算表（3亩圣女果)'!H14+'13-1)生产成本预算表（55亩大棚) '!H14+'13-1)生产成本预算表（25亩鱼塘)'!H14+'13-1)生产成本预算表（138亩椰子)'!H14+'13-1)生产成本预算表（17亩菠萝)'!H14+'13-1)生产成本预算表（50亩南瓜)'!H14+'13-1)生产成本预算表（咸水鸭)'!H14</f>
        <v>8580</v>
      </c>
      <c r="I14" s="11">
        <f>'13-1)生产成本预算表（322亩南瓜）'!I14+'13-1)生产成本预算表（3亩地瓜）'!I14+'13-1)生产成本预算表（3亩圣女果)'!I14+'13-1)生产成本预算表（55亩大棚) '!I14+'13-1)生产成本预算表（25亩鱼塘)'!I14+'13-1)生产成本预算表（138亩椰子)'!I14+'13-1)生产成本预算表（17亩菠萝)'!I14+'13-1)生产成本预算表（50亩南瓜)'!I14+'13-1)生产成本预算表（咸水鸭)'!I14</f>
        <v>13080</v>
      </c>
      <c r="J14" s="11">
        <f>'13-1)生产成本预算表（322亩南瓜）'!J14+'13-1)生产成本预算表（3亩地瓜）'!J14+'13-1)生产成本预算表（3亩圣女果)'!J14+'13-1)生产成本预算表（55亩大棚) '!J14+'13-1)生产成本预算表（25亩鱼塘)'!J14+'13-1)生产成本预算表（138亩椰子)'!J14+'13-1)生产成本预算表（17亩菠萝)'!J14+'13-1)生产成本预算表（50亩南瓜)'!J14+'13-1)生产成本预算表（咸水鸭)'!J14</f>
        <v>13080</v>
      </c>
      <c r="K14" s="11">
        <f>'13-1)生产成本预算表（322亩南瓜）'!K14+'13-1)生产成本预算表（3亩地瓜）'!K14+'13-1)生产成本预算表（3亩圣女果)'!K14+'13-1)生产成本预算表（55亩大棚) '!K14+'13-1)生产成本预算表（25亩鱼塘)'!K14+'13-1)生产成本预算表（138亩椰子)'!K14+'13-1)生产成本预算表（17亩菠萝)'!K14+'13-1)生产成本预算表（50亩南瓜)'!K14+'13-1)生产成本预算表（咸水鸭)'!K14</f>
        <v>9252</v>
      </c>
      <c r="L14" s="41" t="e">
        <f t="shared" si="2"/>
        <v>#DIV/0!</v>
      </c>
      <c r="M14" s="5"/>
    </row>
    <row r="15" spans="1:13" ht="18" customHeight="1">
      <c r="A15" s="72" t="s">
        <v>642</v>
      </c>
      <c r="B15" s="11">
        <f>'13-1)生产成本预算表（322亩南瓜）'!B15+'13-1)生产成本预算表（3亩地瓜）'!B15+'13-1)生产成本预算表（3亩圣女果)'!B15+'13-1)生产成本预算表（55亩大棚) '!B15+'13-1)生产成本预算表（25亩鱼塘)'!B15+'13-1)生产成本预算表（138亩椰子)'!B15+'13-1)生产成本预算表（17亩菠萝)'!B15+'13-1)生产成本预算表（50亩南瓜)'!B15+'13-1)生产成本预算表（咸水鸭)'!B15</f>
        <v>0</v>
      </c>
      <c r="C15" s="11">
        <f>'13-1)生产成本预算表（322亩南瓜）'!C15+'13-1)生产成本预算表（3亩地瓜）'!C15+'13-1)生产成本预算表（3亩圣女果)'!C15+'13-1)生产成本预算表（55亩大棚) '!C15+'13-1)生产成本预算表（25亩鱼塘)'!C15+'13-1)生产成本预算表（138亩椰子)'!C15+'13-1)生产成本预算表（17亩菠萝)'!C15+'13-1)生产成本预算表（50亩南瓜)'!C15+'13-1)生产成本预算表（咸水鸭)'!C15</f>
        <v>0</v>
      </c>
      <c r="D15" s="11">
        <f>'13-1)生产成本预算表（322亩南瓜）'!D15+'13-1)生产成本预算表（3亩地瓜）'!D15+'13-1)生产成本预算表（3亩圣女果)'!D15+'13-1)生产成本预算表（55亩大棚) '!D15+'13-1)生产成本预算表（25亩鱼塘)'!D15+'13-1)生产成本预算表（138亩椰子)'!D15+'13-1)生产成本预算表（17亩菠萝)'!D15+'13-1)生产成本预算表（50亩南瓜)'!D15+'13-1)生产成本预算表（咸水鸭)'!D15</f>
        <v>0</v>
      </c>
      <c r="E15" s="11">
        <f t="shared" si="6"/>
        <v>0</v>
      </c>
      <c r="F15" s="40" t="e">
        <f t="shared" si="1"/>
        <v>#DIV/0!</v>
      </c>
      <c r="G15" s="11">
        <f t="shared" si="7"/>
        <v>0</v>
      </c>
      <c r="H15" s="11">
        <f>'13-1)生产成本预算表（322亩南瓜）'!H15+'13-1)生产成本预算表（3亩地瓜）'!H15+'13-1)生产成本预算表（3亩圣女果)'!H15+'13-1)生产成本预算表（55亩大棚) '!H15+'13-1)生产成本预算表（25亩鱼塘)'!H15+'13-1)生产成本预算表（138亩椰子)'!H15+'13-1)生产成本预算表（17亩菠萝)'!H15+'13-1)生产成本预算表（50亩南瓜)'!H15+'13-1)生产成本预算表（咸水鸭)'!H15</f>
        <v>0</v>
      </c>
      <c r="I15" s="11">
        <f>'13-1)生产成本预算表（322亩南瓜）'!I15+'13-1)生产成本预算表（3亩地瓜）'!I15+'13-1)生产成本预算表（3亩圣女果)'!I15+'13-1)生产成本预算表（55亩大棚) '!I15+'13-1)生产成本预算表（25亩鱼塘)'!I15+'13-1)生产成本预算表（138亩椰子)'!I15+'13-1)生产成本预算表（17亩菠萝)'!I15+'13-1)生产成本预算表（50亩南瓜)'!I15+'13-1)生产成本预算表（咸水鸭)'!I15</f>
        <v>0</v>
      </c>
      <c r="J15" s="11">
        <f>'13-1)生产成本预算表（322亩南瓜）'!J15+'13-1)生产成本预算表（3亩地瓜）'!J15+'13-1)生产成本预算表（3亩圣女果)'!J15+'13-1)生产成本预算表（55亩大棚) '!J15+'13-1)生产成本预算表（25亩鱼塘)'!J15+'13-1)生产成本预算表（138亩椰子)'!J15+'13-1)生产成本预算表（17亩菠萝)'!J15+'13-1)生产成本预算表（50亩南瓜)'!J15+'13-1)生产成本预算表（咸水鸭)'!J15</f>
        <v>0</v>
      </c>
      <c r="K15" s="11">
        <f>'13-1)生产成本预算表（322亩南瓜）'!K15+'13-1)生产成本预算表（3亩地瓜）'!K15+'13-1)生产成本预算表（3亩圣女果)'!K15+'13-1)生产成本预算表（55亩大棚) '!K15+'13-1)生产成本预算表（25亩鱼塘)'!K15+'13-1)生产成本预算表（138亩椰子)'!K15+'13-1)生产成本预算表（17亩菠萝)'!K15+'13-1)生产成本预算表（50亩南瓜)'!K15+'13-1)生产成本预算表（咸水鸭)'!K15</f>
        <v>0</v>
      </c>
      <c r="L15" s="41" t="e">
        <f t="shared" si="2"/>
        <v>#DIV/0!</v>
      </c>
      <c r="M15" s="5"/>
    </row>
    <row r="16" spans="1:13" ht="18" customHeight="1">
      <c r="A16" s="72" t="s">
        <v>643</v>
      </c>
      <c r="B16" s="11">
        <f aca="true" t="shared" si="9" ref="B16:K16">SUM(B17:B19)</f>
        <v>0</v>
      </c>
      <c r="C16" s="11">
        <f t="shared" si="9"/>
        <v>0</v>
      </c>
      <c r="D16" s="26">
        <f t="shared" si="9"/>
        <v>0</v>
      </c>
      <c r="E16" s="11">
        <f t="shared" si="9"/>
        <v>0</v>
      </c>
      <c r="F16" s="40" t="e">
        <f t="shared" si="1"/>
        <v>#DIV/0!</v>
      </c>
      <c r="G16" s="11">
        <f t="shared" si="9"/>
        <v>3250</v>
      </c>
      <c r="H16" s="26">
        <f t="shared" si="9"/>
        <v>0</v>
      </c>
      <c r="I16" s="26">
        <f t="shared" si="9"/>
        <v>3250</v>
      </c>
      <c r="J16" s="26">
        <f t="shared" si="9"/>
        <v>0</v>
      </c>
      <c r="K16" s="26">
        <f t="shared" si="9"/>
        <v>0</v>
      </c>
      <c r="L16" s="41" t="e">
        <f t="shared" si="2"/>
        <v>#DIV/0!</v>
      </c>
      <c r="M16" s="5"/>
    </row>
    <row r="17" spans="1:13" ht="18" customHeight="1">
      <c r="A17" s="72" t="s">
        <v>644</v>
      </c>
      <c r="B17" s="11">
        <f>'13-1)生产成本预算表（322亩南瓜）'!B17+'13-1)生产成本预算表（3亩地瓜）'!B17+'13-1)生产成本预算表（3亩圣女果)'!B17+'13-1)生产成本预算表（55亩大棚) '!B17+'13-1)生产成本预算表（25亩鱼塘)'!B17+'13-1)生产成本预算表（138亩椰子)'!B17+'13-1)生产成本预算表（17亩菠萝)'!B17+'13-1)生产成本预算表（50亩南瓜)'!B17+'13-1)生产成本预算表（咸水鸭)'!B17</f>
        <v>0</v>
      </c>
      <c r="C17" s="11">
        <f>'13-1)生产成本预算表（322亩南瓜）'!C17+'13-1)生产成本预算表（3亩地瓜）'!C17+'13-1)生产成本预算表（3亩圣女果)'!C17+'13-1)生产成本预算表（55亩大棚) '!C17+'13-1)生产成本预算表（25亩鱼塘)'!C17+'13-1)生产成本预算表（138亩椰子)'!C17+'13-1)生产成本预算表（17亩菠萝)'!C17+'13-1)生产成本预算表（50亩南瓜)'!C17+'13-1)生产成本预算表（咸水鸭)'!C17</f>
        <v>0</v>
      </c>
      <c r="D17" s="11">
        <f>'13-1)生产成本预算表（322亩南瓜）'!D17+'13-1)生产成本预算表（3亩地瓜）'!D17+'13-1)生产成本预算表（3亩圣女果)'!D17+'13-1)生产成本预算表（55亩大棚) '!D17+'13-1)生产成本预算表（25亩鱼塘)'!D17+'13-1)生产成本预算表（138亩椰子)'!D17+'13-1)生产成本预算表（17亩菠萝)'!D17+'13-1)生产成本预算表（50亩南瓜)'!D17+'13-1)生产成本预算表（咸水鸭)'!D17</f>
        <v>0</v>
      </c>
      <c r="E17" s="11">
        <f aca="true" t="shared" si="10" ref="E17:E19">C17+D17</f>
        <v>0</v>
      </c>
      <c r="F17" s="40" t="e">
        <f t="shared" si="1"/>
        <v>#DIV/0!</v>
      </c>
      <c r="G17" s="11">
        <f aca="true" t="shared" si="11" ref="G17:G19">SUM(H17:K17)</f>
        <v>0</v>
      </c>
      <c r="H17" s="11">
        <f>'13-1)生产成本预算表（322亩南瓜）'!H17+'13-1)生产成本预算表（3亩地瓜）'!H17+'13-1)生产成本预算表（3亩圣女果)'!H17+'13-1)生产成本预算表（55亩大棚) '!H17+'13-1)生产成本预算表（25亩鱼塘)'!H17+'13-1)生产成本预算表（138亩椰子)'!H17+'13-1)生产成本预算表（17亩菠萝)'!H17+'13-1)生产成本预算表（50亩南瓜)'!H17+'13-1)生产成本预算表（咸水鸭)'!H17</f>
        <v>0</v>
      </c>
      <c r="I17" s="11">
        <f>'13-1)生产成本预算表（322亩南瓜）'!I17+'13-1)生产成本预算表（3亩地瓜）'!I17+'13-1)生产成本预算表（3亩圣女果)'!I17+'13-1)生产成本预算表（55亩大棚) '!I17+'13-1)生产成本预算表（25亩鱼塘)'!I17+'13-1)生产成本预算表（138亩椰子)'!I17+'13-1)生产成本预算表（17亩菠萝)'!I17+'13-1)生产成本预算表（50亩南瓜)'!I17+'13-1)生产成本预算表（咸水鸭)'!I17</f>
        <v>0</v>
      </c>
      <c r="J17" s="11">
        <f>'13-1)生产成本预算表（322亩南瓜）'!J17+'13-1)生产成本预算表（3亩地瓜）'!J17+'13-1)生产成本预算表（3亩圣女果)'!J17+'13-1)生产成本预算表（55亩大棚) '!J17+'13-1)生产成本预算表（25亩鱼塘)'!J17+'13-1)生产成本预算表（138亩椰子)'!J17+'13-1)生产成本预算表（17亩菠萝)'!J17+'13-1)生产成本预算表（50亩南瓜)'!J17+'13-1)生产成本预算表（咸水鸭)'!J17</f>
        <v>0</v>
      </c>
      <c r="K17" s="11">
        <f>'13-1)生产成本预算表（322亩南瓜）'!K17+'13-1)生产成本预算表（3亩地瓜）'!K17+'13-1)生产成本预算表（3亩圣女果)'!K17+'13-1)生产成本预算表（55亩大棚) '!K17+'13-1)生产成本预算表（25亩鱼塘)'!K17+'13-1)生产成本预算表（138亩椰子)'!K17+'13-1)生产成本预算表（17亩菠萝)'!K17+'13-1)生产成本预算表（50亩南瓜)'!K17+'13-1)生产成本预算表（咸水鸭)'!K17</f>
        <v>0</v>
      </c>
      <c r="L17" s="41" t="e">
        <f t="shared" si="2"/>
        <v>#DIV/0!</v>
      </c>
      <c r="M17" s="5"/>
    </row>
    <row r="18" spans="1:13" ht="18" customHeight="1">
      <c r="A18" s="72" t="s">
        <v>645</v>
      </c>
      <c r="B18" s="11">
        <f>'13-1)生产成本预算表（322亩南瓜）'!B18+'13-1)生产成本预算表（3亩地瓜）'!B18+'13-1)生产成本预算表（3亩圣女果)'!B18+'13-1)生产成本预算表（55亩大棚) '!B18+'13-1)生产成本预算表（25亩鱼塘)'!B18+'13-1)生产成本预算表（138亩椰子)'!B18+'13-1)生产成本预算表（17亩菠萝)'!B18+'13-1)生产成本预算表（50亩南瓜)'!B18+'13-1)生产成本预算表（咸水鸭)'!B18</f>
        <v>0</v>
      </c>
      <c r="C18" s="11">
        <f>'13-1)生产成本预算表（322亩南瓜）'!C18+'13-1)生产成本预算表（3亩地瓜）'!C18+'13-1)生产成本预算表（3亩圣女果)'!C18+'13-1)生产成本预算表（55亩大棚) '!C18+'13-1)生产成本预算表（25亩鱼塘)'!C18+'13-1)生产成本预算表（138亩椰子)'!C18+'13-1)生产成本预算表（17亩菠萝)'!C18+'13-1)生产成本预算表（50亩南瓜)'!C18+'13-1)生产成本预算表（咸水鸭)'!C18</f>
        <v>0</v>
      </c>
      <c r="D18" s="11">
        <f>'13-1)生产成本预算表（322亩南瓜）'!D18+'13-1)生产成本预算表（3亩地瓜）'!D18+'13-1)生产成本预算表（3亩圣女果)'!D18+'13-1)生产成本预算表（55亩大棚) '!D18+'13-1)生产成本预算表（25亩鱼塘)'!D18+'13-1)生产成本预算表（138亩椰子)'!D18+'13-1)生产成本预算表（17亩菠萝)'!D18+'13-1)生产成本预算表（50亩南瓜)'!D18+'13-1)生产成本预算表（咸水鸭)'!D18</f>
        <v>0</v>
      </c>
      <c r="E18" s="11">
        <f t="shared" si="10"/>
        <v>0</v>
      </c>
      <c r="F18" s="40" t="e">
        <f t="shared" si="1"/>
        <v>#DIV/0!</v>
      </c>
      <c r="G18" s="11">
        <f t="shared" si="11"/>
        <v>3250</v>
      </c>
      <c r="H18" s="11">
        <f>'13-1)生产成本预算表（322亩南瓜）'!H18+'13-1)生产成本预算表（3亩地瓜）'!H18+'13-1)生产成本预算表（3亩圣女果)'!H18+'13-1)生产成本预算表（55亩大棚) '!H18+'13-1)生产成本预算表（25亩鱼塘)'!H18+'13-1)生产成本预算表（138亩椰子)'!H18+'13-1)生产成本预算表（17亩菠萝)'!H18+'13-1)生产成本预算表（50亩南瓜)'!H18+'13-1)生产成本预算表（咸水鸭)'!H18</f>
        <v>0</v>
      </c>
      <c r="I18" s="11">
        <f>'13-1)生产成本预算表（322亩南瓜）'!I18+'13-1)生产成本预算表（3亩地瓜）'!I18+'13-1)生产成本预算表（3亩圣女果)'!I18+'13-1)生产成本预算表（55亩大棚) '!I18+'13-1)生产成本预算表（25亩鱼塘)'!I18+'13-1)生产成本预算表（138亩椰子)'!I18+'13-1)生产成本预算表（17亩菠萝)'!I18+'13-1)生产成本预算表（50亩南瓜)'!I18+'13-1)生产成本预算表（咸水鸭)'!I18</f>
        <v>3250</v>
      </c>
      <c r="J18" s="11">
        <f>'13-1)生产成本预算表（322亩南瓜）'!J18+'13-1)生产成本预算表（3亩地瓜）'!J18+'13-1)生产成本预算表（3亩圣女果)'!J18+'13-1)生产成本预算表（55亩大棚) '!J18+'13-1)生产成本预算表（25亩鱼塘)'!J18+'13-1)生产成本预算表（138亩椰子)'!J18+'13-1)生产成本预算表（17亩菠萝)'!J18+'13-1)生产成本预算表（50亩南瓜)'!J18+'13-1)生产成本预算表（咸水鸭)'!J18</f>
        <v>0</v>
      </c>
      <c r="K18" s="11">
        <f>'13-1)生产成本预算表（322亩南瓜）'!K18+'13-1)生产成本预算表（3亩地瓜）'!K18+'13-1)生产成本预算表（3亩圣女果)'!K18+'13-1)生产成本预算表（55亩大棚) '!K18+'13-1)生产成本预算表（25亩鱼塘)'!K18+'13-1)生产成本预算表（138亩椰子)'!K18+'13-1)生产成本预算表（17亩菠萝)'!K18+'13-1)生产成本预算表（50亩南瓜)'!K18+'13-1)生产成本预算表（咸水鸭)'!K18</f>
        <v>0</v>
      </c>
      <c r="L18" s="41" t="e">
        <f t="shared" si="2"/>
        <v>#DIV/0!</v>
      </c>
      <c r="M18" s="5"/>
    </row>
    <row r="19" spans="1:13" ht="18" customHeight="1">
      <c r="A19" s="72" t="s">
        <v>646</v>
      </c>
      <c r="B19" s="11">
        <f>'13-1)生产成本预算表（322亩南瓜）'!B19+'13-1)生产成本预算表（3亩地瓜）'!B19+'13-1)生产成本预算表（3亩圣女果)'!B19+'13-1)生产成本预算表（55亩大棚) '!B19+'13-1)生产成本预算表（25亩鱼塘)'!B19+'13-1)生产成本预算表（138亩椰子)'!B19+'13-1)生产成本预算表（17亩菠萝)'!B19+'13-1)生产成本预算表（50亩南瓜)'!B19+'13-1)生产成本预算表（咸水鸭)'!B19</f>
        <v>0</v>
      </c>
      <c r="C19" s="11">
        <f>'13-1)生产成本预算表（322亩南瓜）'!C19+'13-1)生产成本预算表（3亩地瓜）'!C19+'13-1)生产成本预算表（3亩圣女果)'!C19+'13-1)生产成本预算表（55亩大棚) '!C19+'13-1)生产成本预算表（25亩鱼塘)'!C19+'13-1)生产成本预算表（138亩椰子)'!C19+'13-1)生产成本预算表（17亩菠萝)'!C19+'13-1)生产成本预算表（50亩南瓜)'!C19+'13-1)生产成本预算表（咸水鸭)'!C19</f>
        <v>0</v>
      </c>
      <c r="D19" s="11">
        <f>'13-1)生产成本预算表（322亩南瓜）'!D19+'13-1)生产成本预算表（3亩地瓜）'!D19+'13-1)生产成本预算表（3亩圣女果)'!D19+'13-1)生产成本预算表（55亩大棚) '!D19+'13-1)生产成本预算表（25亩鱼塘)'!D19+'13-1)生产成本预算表（138亩椰子)'!D19+'13-1)生产成本预算表（17亩菠萝)'!D19+'13-1)生产成本预算表（50亩南瓜)'!D19+'13-1)生产成本预算表（咸水鸭)'!D19</f>
        <v>0</v>
      </c>
      <c r="E19" s="11">
        <f t="shared" si="10"/>
        <v>0</v>
      </c>
      <c r="F19" s="40" t="e">
        <f t="shared" si="1"/>
        <v>#DIV/0!</v>
      </c>
      <c r="G19" s="11">
        <f t="shared" si="11"/>
        <v>0</v>
      </c>
      <c r="H19" s="11">
        <f>'13-1)生产成本预算表（322亩南瓜）'!H19+'13-1)生产成本预算表（3亩地瓜）'!H19+'13-1)生产成本预算表（3亩圣女果)'!H19+'13-1)生产成本预算表（55亩大棚) '!H19+'13-1)生产成本预算表（25亩鱼塘)'!H19+'13-1)生产成本预算表（138亩椰子)'!H19+'13-1)生产成本预算表（17亩菠萝)'!H19+'13-1)生产成本预算表（50亩南瓜)'!H19+'13-1)生产成本预算表（咸水鸭)'!H19</f>
        <v>0</v>
      </c>
      <c r="I19" s="11">
        <f>'13-1)生产成本预算表（322亩南瓜）'!I19+'13-1)生产成本预算表（3亩地瓜）'!I19+'13-1)生产成本预算表（3亩圣女果)'!I19+'13-1)生产成本预算表（55亩大棚) '!I19+'13-1)生产成本预算表（25亩鱼塘)'!I19+'13-1)生产成本预算表（138亩椰子)'!I19+'13-1)生产成本预算表（17亩菠萝)'!I19+'13-1)生产成本预算表（50亩南瓜)'!I19+'13-1)生产成本预算表（咸水鸭)'!I19</f>
        <v>0</v>
      </c>
      <c r="J19" s="11">
        <f>'13-1)生产成本预算表（322亩南瓜）'!J19+'13-1)生产成本预算表（3亩地瓜）'!J19+'13-1)生产成本预算表（3亩圣女果)'!J19+'13-1)生产成本预算表（55亩大棚) '!J19+'13-1)生产成本预算表（25亩鱼塘)'!J19+'13-1)生产成本预算表（138亩椰子)'!J19+'13-1)生产成本预算表（17亩菠萝)'!J19+'13-1)生产成本预算表（50亩南瓜)'!J19+'13-1)生产成本预算表（咸水鸭)'!J19</f>
        <v>0</v>
      </c>
      <c r="K19" s="11">
        <f>'13-1)生产成本预算表（322亩南瓜）'!K19+'13-1)生产成本预算表（3亩地瓜）'!K19+'13-1)生产成本预算表（3亩圣女果)'!K19+'13-1)生产成本预算表（55亩大棚) '!K19+'13-1)生产成本预算表（25亩鱼塘)'!K19+'13-1)生产成本预算表（138亩椰子)'!K19+'13-1)生产成本预算表（17亩菠萝)'!K19+'13-1)生产成本预算表（50亩南瓜)'!K19+'13-1)生产成本预算表（咸水鸭)'!K19</f>
        <v>0</v>
      </c>
      <c r="L19" s="41" t="e">
        <f t="shared" si="2"/>
        <v>#DIV/0!</v>
      </c>
      <c r="M19" s="5"/>
    </row>
    <row r="20" spans="1:13" ht="18" customHeight="1">
      <c r="A20" s="72" t="s">
        <v>647</v>
      </c>
      <c r="B20" s="11">
        <f aca="true" t="shared" si="12" ref="B20:K20">SUM(B21:B22)</f>
        <v>0</v>
      </c>
      <c r="C20" s="11">
        <f t="shared" si="12"/>
        <v>0</v>
      </c>
      <c r="D20" s="26">
        <f t="shared" si="12"/>
        <v>0</v>
      </c>
      <c r="E20" s="11">
        <f t="shared" si="12"/>
        <v>0</v>
      </c>
      <c r="F20" s="40" t="e">
        <f t="shared" si="1"/>
        <v>#DIV/0!</v>
      </c>
      <c r="G20" s="11">
        <f t="shared" si="12"/>
        <v>78222.6</v>
      </c>
      <c r="H20" s="26">
        <f t="shared" si="12"/>
        <v>19555.65</v>
      </c>
      <c r="I20" s="26">
        <f t="shared" si="12"/>
        <v>19555.65</v>
      </c>
      <c r="J20" s="26">
        <f t="shared" si="12"/>
        <v>19555.65</v>
      </c>
      <c r="K20" s="26">
        <f t="shared" si="12"/>
        <v>19555.65</v>
      </c>
      <c r="L20" s="41" t="e">
        <f t="shared" si="2"/>
        <v>#DIV/0!</v>
      </c>
      <c r="M20" s="5"/>
    </row>
    <row r="21" spans="1:13" ht="18" customHeight="1">
      <c r="A21" s="72" t="s">
        <v>648</v>
      </c>
      <c r="B21" s="11">
        <f>'13-1)生产成本预算表（322亩南瓜）'!B21+'13-1)生产成本预算表（3亩地瓜）'!B21+'13-1)生产成本预算表（3亩圣女果)'!B21+'13-1)生产成本预算表（55亩大棚) '!B21+'13-1)生产成本预算表（25亩鱼塘)'!B21+'13-1)生产成本预算表（138亩椰子)'!B21+'13-1)生产成本预算表（17亩菠萝)'!B21+'13-1)生产成本预算表（50亩南瓜)'!B21+'13-1)生产成本预算表（咸水鸭)'!B21</f>
        <v>0</v>
      </c>
      <c r="C21" s="11">
        <f>'13-1)生产成本预算表（322亩南瓜）'!C21+'13-1)生产成本预算表（3亩地瓜）'!C21+'13-1)生产成本预算表（3亩圣女果)'!C21+'13-1)生产成本预算表（55亩大棚) '!C21+'13-1)生产成本预算表（25亩鱼塘)'!C21+'13-1)生产成本预算表（138亩椰子)'!C21+'13-1)生产成本预算表（17亩菠萝)'!C21+'13-1)生产成本预算表（50亩南瓜)'!C21+'13-1)生产成本预算表（咸水鸭)'!C21</f>
        <v>0</v>
      </c>
      <c r="D21" s="11">
        <f>'13-1)生产成本预算表（322亩南瓜）'!D21+'13-1)生产成本预算表（3亩地瓜）'!D21+'13-1)生产成本预算表（3亩圣女果)'!D21+'13-1)生产成本预算表（55亩大棚) '!D21+'13-1)生产成本预算表（25亩鱼塘)'!D21+'13-1)生产成本预算表（138亩椰子)'!D21+'13-1)生产成本预算表（17亩菠萝)'!D21+'13-1)生产成本预算表（50亩南瓜)'!D21+'13-1)生产成本预算表（咸水鸭)'!D21</f>
        <v>0</v>
      </c>
      <c r="E21" s="11">
        <f aca="true" t="shared" si="13" ref="E21:E26">C21+D21</f>
        <v>0</v>
      </c>
      <c r="F21" s="40" t="e">
        <f t="shared" si="1"/>
        <v>#DIV/0!</v>
      </c>
      <c r="G21" s="11">
        <f aca="true" t="shared" si="14" ref="G21:G26">SUM(H21:K21)</f>
        <v>76274.28</v>
      </c>
      <c r="H21" s="11">
        <f>'13-1)生产成本预算表（322亩南瓜）'!H21+'13-1)生产成本预算表（3亩地瓜）'!H21+'13-1)生产成本预算表（3亩圣女果)'!H21+'13-1)生产成本预算表（55亩大棚) '!H21+'13-1)生产成本预算表（25亩鱼塘)'!H21+'13-1)生产成本预算表（138亩椰子)'!H21+'13-1)生产成本预算表（17亩菠萝)'!H21+'13-1)生产成本预算表（50亩南瓜)'!H21+'13-1)生产成本预算表（咸水鸭)'!H21</f>
        <v>19068.57</v>
      </c>
      <c r="I21" s="11">
        <f>'13-1)生产成本预算表（322亩南瓜）'!I21+'13-1)生产成本预算表（3亩地瓜）'!I21+'13-1)生产成本预算表（3亩圣女果)'!I21+'13-1)生产成本预算表（55亩大棚) '!I21+'13-1)生产成本预算表（25亩鱼塘)'!I21+'13-1)生产成本预算表（138亩椰子)'!I21+'13-1)生产成本预算表（17亩菠萝)'!I21+'13-1)生产成本预算表（50亩南瓜)'!I21+'13-1)生产成本预算表（咸水鸭)'!I21</f>
        <v>19068.57</v>
      </c>
      <c r="J21" s="11">
        <f>'13-1)生产成本预算表（322亩南瓜）'!J21+'13-1)生产成本预算表（3亩地瓜）'!J21+'13-1)生产成本预算表（3亩圣女果)'!J21+'13-1)生产成本预算表（55亩大棚) '!J21+'13-1)生产成本预算表（25亩鱼塘)'!J21+'13-1)生产成本预算表（138亩椰子)'!J21+'13-1)生产成本预算表（17亩菠萝)'!J21+'13-1)生产成本预算表（50亩南瓜)'!J21+'13-1)生产成本预算表（咸水鸭)'!J21</f>
        <v>19068.57</v>
      </c>
      <c r="K21" s="11">
        <f>'13-1)生产成本预算表（322亩南瓜）'!K21+'13-1)生产成本预算表（3亩地瓜）'!K21+'13-1)生产成本预算表（3亩圣女果)'!K21+'13-1)生产成本预算表（55亩大棚) '!K21+'13-1)生产成本预算表（25亩鱼塘)'!K21+'13-1)生产成本预算表（138亩椰子)'!K21+'13-1)生产成本预算表（17亩菠萝)'!K21+'13-1)生产成本预算表（50亩南瓜)'!K21+'13-1)生产成本预算表（咸水鸭)'!K21</f>
        <v>19068.57</v>
      </c>
      <c r="L21" s="41" t="e">
        <f t="shared" si="2"/>
        <v>#DIV/0!</v>
      </c>
      <c r="M21" s="5"/>
    </row>
    <row r="22" spans="1:13" ht="18" customHeight="1">
      <c r="A22" s="72" t="s">
        <v>649</v>
      </c>
      <c r="B22" s="11">
        <f>'13-1)生产成本预算表（322亩南瓜）'!B22+'13-1)生产成本预算表（3亩地瓜）'!B22+'13-1)生产成本预算表（3亩圣女果)'!B22+'13-1)生产成本预算表（55亩大棚) '!B22+'13-1)生产成本预算表（25亩鱼塘)'!B22+'13-1)生产成本预算表（138亩椰子)'!B22+'13-1)生产成本预算表（17亩菠萝)'!B22+'13-1)生产成本预算表（50亩南瓜)'!B22+'13-1)生产成本预算表（咸水鸭)'!B22</f>
        <v>0</v>
      </c>
      <c r="C22" s="11">
        <f>'13-1)生产成本预算表（322亩南瓜）'!C22+'13-1)生产成本预算表（3亩地瓜）'!C22+'13-1)生产成本预算表（3亩圣女果)'!C22+'13-1)生产成本预算表（55亩大棚) '!C22+'13-1)生产成本预算表（25亩鱼塘)'!C22+'13-1)生产成本预算表（138亩椰子)'!C22+'13-1)生产成本预算表（17亩菠萝)'!C22+'13-1)生产成本预算表（50亩南瓜)'!C22+'13-1)生产成本预算表（咸水鸭)'!C22</f>
        <v>0</v>
      </c>
      <c r="D22" s="11">
        <f>'13-1)生产成本预算表（322亩南瓜）'!D22+'13-1)生产成本预算表（3亩地瓜）'!D22+'13-1)生产成本预算表（3亩圣女果)'!D22+'13-1)生产成本预算表（55亩大棚) '!D22+'13-1)生产成本预算表（25亩鱼塘)'!D22+'13-1)生产成本预算表（138亩椰子)'!D22+'13-1)生产成本预算表（17亩菠萝)'!D22+'13-1)生产成本预算表（50亩南瓜)'!D22+'13-1)生产成本预算表（咸水鸭)'!D22</f>
        <v>0</v>
      </c>
      <c r="E22" s="11">
        <f t="shared" si="13"/>
        <v>0</v>
      </c>
      <c r="F22" s="40" t="e">
        <f t="shared" si="1"/>
        <v>#DIV/0!</v>
      </c>
      <c r="G22" s="11">
        <f t="shared" si="14"/>
        <v>1948.320000000001</v>
      </c>
      <c r="H22" s="11">
        <f>'13-1)生产成本预算表（322亩南瓜）'!H22+'13-1)生产成本预算表（3亩地瓜）'!H22+'13-1)生产成本预算表（3亩圣女果)'!H22+'13-1)生产成本预算表（55亩大棚) '!H22+'13-1)生产成本预算表（25亩鱼塘)'!H22+'13-1)生产成本预算表（138亩椰子)'!H22+'13-1)生产成本预算表（17亩菠萝)'!H22+'13-1)生产成本预算表（50亩南瓜)'!H22+'13-1)生产成本预算表（咸水鸭)'!H22</f>
        <v>487.0800000000002</v>
      </c>
      <c r="I22" s="11">
        <f>'13-1)生产成本预算表（322亩南瓜）'!I22+'13-1)生产成本预算表（3亩地瓜）'!I22+'13-1)生产成本预算表（3亩圣女果)'!I22+'13-1)生产成本预算表（55亩大棚) '!I22+'13-1)生产成本预算表（25亩鱼塘)'!I22+'13-1)生产成本预算表（138亩椰子)'!I22+'13-1)生产成本预算表（17亩菠萝)'!I22+'13-1)生产成本预算表（50亩南瓜)'!I22+'13-1)生产成本预算表（咸水鸭)'!I22</f>
        <v>487.0800000000002</v>
      </c>
      <c r="J22" s="11">
        <f>'13-1)生产成本预算表（322亩南瓜）'!J22+'13-1)生产成本预算表（3亩地瓜）'!J22+'13-1)生产成本预算表（3亩圣女果)'!J22+'13-1)生产成本预算表（55亩大棚) '!J22+'13-1)生产成本预算表（25亩鱼塘)'!J22+'13-1)生产成本预算表（138亩椰子)'!J22+'13-1)生产成本预算表（17亩菠萝)'!J22+'13-1)生产成本预算表（50亩南瓜)'!J22+'13-1)生产成本预算表（咸水鸭)'!J22</f>
        <v>487.08000000000015</v>
      </c>
      <c r="K22" s="11">
        <f>'13-1)生产成本预算表（322亩南瓜）'!K22+'13-1)生产成本预算表（3亩地瓜）'!K22+'13-1)生产成本预算表（3亩圣女果)'!K22+'13-1)生产成本预算表（55亩大棚) '!K22+'13-1)生产成本预算表（25亩鱼塘)'!K22+'13-1)生产成本预算表（138亩椰子)'!K22+'13-1)生产成本预算表（17亩菠萝)'!K22+'13-1)生产成本预算表（50亩南瓜)'!K22+'13-1)生产成本预算表（咸水鸭)'!K22</f>
        <v>487.08000000000027</v>
      </c>
      <c r="L22" s="41" t="e">
        <f t="shared" si="2"/>
        <v>#DIV/0!</v>
      </c>
      <c r="M22" s="5"/>
    </row>
    <row r="23" spans="1:13" ht="18" customHeight="1">
      <c r="A23" s="72" t="s">
        <v>650</v>
      </c>
      <c r="B23" s="11">
        <f>'13-1)生产成本预算表（322亩南瓜）'!B23+'13-1)生产成本预算表（3亩地瓜）'!B23+'13-1)生产成本预算表（3亩圣女果)'!B23+'13-1)生产成本预算表（55亩大棚) '!B23+'13-1)生产成本预算表（25亩鱼塘)'!B23+'13-1)生产成本预算表（138亩椰子)'!B23+'13-1)生产成本预算表（17亩菠萝)'!B23+'13-1)生产成本预算表（50亩南瓜)'!B23+'13-1)生产成本预算表（咸水鸭)'!B23</f>
        <v>0</v>
      </c>
      <c r="C23" s="11">
        <f>'13-1)生产成本预算表（322亩南瓜）'!C23+'13-1)生产成本预算表（3亩地瓜）'!C23+'13-1)生产成本预算表（3亩圣女果)'!C23+'13-1)生产成本预算表（55亩大棚) '!C23+'13-1)生产成本预算表（25亩鱼塘)'!C23+'13-1)生产成本预算表（138亩椰子)'!C23+'13-1)生产成本预算表（17亩菠萝)'!C23+'13-1)生产成本预算表（50亩南瓜)'!C23+'13-1)生产成本预算表（咸水鸭)'!C23</f>
        <v>0</v>
      </c>
      <c r="D23" s="11">
        <f>'13-1)生产成本预算表（322亩南瓜）'!D23+'13-1)生产成本预算表（3亩地瓜）'!D23+'13-1)生产成本预算表（3亩圣女果)'!D23+'13-1)生产成本预算表（55亩大棚) '!D23+'13-1)生产成本预算表（25亩鱼塘)'!D23+'13-1)生产成本预算表（138亩椰子)'!D23+'13-1)生产成本预算表（17亩菠萝)'!D23+'13-1)生产成本预算表（50亩南瓜)'!D23+'13-1)生产成本预算表（咸水鸭)'!D23</f>
        <v>0</v>
      </c>
      <c r="E23" s="11">
        <f t="shared" si="13"/>
        <v>0</v>
      </c>
      <c r="F23" s="40" t="e">
        <f t="shared" si="1"/>
        <v>#DIV/0!</v>
      </c>
      <c r="G23" s="11">
        <f t="shared" si="14"/>
        <v>33972</v>
      </c>
      <c r="H23" s="11">
        <f>'13-1)生产成本预算表（322亩南瓜）'!H23+'13-1)生产成本预算表（3亩地瓜）'!H23+'13-1)生产成本预算表（3亩圣女果)'!H23+'13-1)生产成本预算表（55亩大棚) '!H23+'13-1)生产成本预算表（25亩鱼塘)'!H23+'13-1)生产成本预算表（138亩椰子)'!H23+'13-1)生产成本预算表（17亩菠萝)'!H23+'13-1)生产成本预算表（50亩南瓜)'!H23+'13-1)生产成本预算表（咸水鸭)'!H23</f>
        <v>8493</v>
      </c>
      <c r="I23" s="11">
        <f>'13-1)生产成本预算表（322亩南瓜）'!I23+'13-1)生产成本预算表（3亩地瓜）'!I23+'13-1)生产成本预算表（3亩圣女果)'!I23+'13-1)生产成本预算表（55亩大棚) '!I23+'13-1)生产成本预算表（25亩鱼塘)'!I23+'13-1)生产成本预算表（138亩椰子)'!I23+'13-1)生产成本预算表（17亩菠萝)'!I23+'13-1)生产成本预算表（50亩南瓜)'!I23+'13-1)生产成本预算表（咸水鸭)'!I23</f>
        <v>8493</v>
      </c>
      <c r="J23" s="11">
        <f>'13-1)生产成本预算表（322亩南瓜）'!J23+'13-1)生产成本预算表（3亩地瓜）'!J23+'13-1)生产成本预算表（3亩圣女果)'!J23+'13-1)生产成本预算表（55亩大棚) '!J23+'13-1)生产成本预算表（25亩鱼塘)'!J23+'13-1)生产成本预算表（138亩椰子)'!J23+'13-1)生产成本预算表（17亩菠萝)'!J23+'13-1)生产成本预算表（50亩南瓜)'!J23+'13-1)生产成本预算表（咸水鸭)'!J23</f>
        <v>8493</v>
      </c>
      <c r="K23" s="11">
        <f>'13-1)生产成本预算表（322亩南瓜）'!K23+'13-1)生产成本预算表（3亩地瓜）'!K23+'13-1)生产成本预算表（3亩圣女果)'!K23+'13-1)生产成本预算表（55亩大棚) '!K23+'13-1)生产成本预算表（25亩鱼塘)'!K23+'13-1)生产成本预算表（138亩椰子)'!K23+'13-1)生产成本预算表（17亩菠萝)'!K23+'13-1)生产成本预算表（50亩南瓜)'!K23+'13-1)生产成本预算表（咸水鸭)'!K23</f>
        <v>8493</v>
      </c>
      <c r="L23" s="41" t="e">
        <f t="shared" si="2"/>
        <v>#DIV/0!</v>
      </c>
      <c r="M23" s="5"/>
    </row>
    <row r="24" spans="1:13" ht="18" customHeight="1">
      <c r="A24" s="72" t="s">
        <v>651</v>
      </c>
      <c r="B24" s="11">
        <f>'13-1)生产成本预算表（322亩南瓜）'!B24+'13-1)生产成本预算表（3亩地瓜）'!B24+'13-1)生产成本预算表（3亩圣女果)'!B24+'13-1)生产成本预算表（55亩大棚) '!B24+'13-1)生产成本预算表（25亩鱼塘)'!B24+'13-1)生产成本预算表（138亩椰子)'!B24+'13-1)生产成本预算表（17亩菠萝)'!B24+'13-1)生产成本预算表（50亩南瓜)'!B24+'13-1)生产成本预算表（咸水鸭)'!B24</f>
        <v>0</v>
      </c>
      <c r="C24" s="11">
        <f>'13-1)生产成本预算表（322亩南瓜）'!C24+'13-1)生产成本预算表（3亩地瓜）'!C24+'13-1)生产成本预算表（3亩圣女果)'!C24+'13-1)生产成本预算表（55亩大棚) '!C24+'13-1)生产成本预算表（25亩鱼塘)'!C24+'13-1)生产成本预算表（138亩椰子)'!C24+'13-1)生产成本预算表（17亩菠萝)'!C24+'13-1)生产成本预算表（50亩南瓜)'!C24+'13-1)生产成本预算表（咸水鸭)'!C24</f>
        <v>0</v>
      </c>
      <c r="D24" s="11">
        <f>'13-1)生产成本预算表（322亩南瓜）'!D24+'13-1)生产成本预算表（3亩地瓜）'!D24+'13-1)生产成本预算表（3亩圣女果)'!D24+'13-1)生产成本预算表（55亩大棚) '!D24+'13-1)生产成本预算表（25亩鱼塘)'!D24+'13-1)生产成本预算表（138亩椰子)'!D24+'13-1)生产成本预算表（17亩菠萝)'!D24+'13-1)生产成本预算表（50亩南瓜)'!D24+'13-1)生产成本预算表（咸水鸭)'!D24</f>
        <v>0</v>
      </c>
      <c r="E24" s="11">
        <f t="shared" si="13"/>
        <v>0</v>
      </c>
      <c r="F24" s="40" t="e">
        <f t="shared" si="1"/>
        <v>#DIV/0!</v>
      </c>
      <c r="G24" s="11">
        <f t="shared" si="14"/>
        <v>5895.9</v>
      </c>
      <c r="H24" s="11">
        <f>'13-1)生产成本预算表（322亩南瓜）'!H24+'13-1)生产成本预算表（3亩地瓜）'!H24+'13-1)生产成本预算表（3亩圣女果)'!H24+'13-1)生产成本预算表（55亩大棚) '!H24+'13-1)生产成本预算表（25亩鱼塘)'!H24+'13-1)生产成本预算表（138亩椰子)'!H24+'13-1)生产成本预算表（17亩菠萝)'!H24+'13-1)生产成本预算表（50亩南瓜)'!H24+'13-1)生产成本预算表（咸水鸭)'!H24</f>
        <v>1473.975</v>
      </c>
      <c r="I24" s="11">
        <f>'13-1)生产成本预算表（322亩南瓜）'!I24+'13-1)生产成本预算表（3亩地瓜）'!I24+'13-1)生产成本预算表（3亩圣女果)'!I24+'13-1)生产成本预算表（55亩大棚) '!I24+'13-1)生产成本预算表（25亩鱼塘)'!I24+'13-1)生产成本预算表（138亩椰子)'!I24+'13-1)生产成本预算表（17亩菠萝)'!I24+'13-1)生产成本预算表（50亩南瓜)'!I24+'13-1)生产成本预算表（咸水鸭)'!I24</f>
        <v>1473.975</v>
      </c>
      <c r="J24" s="11">
        <f>'13-1)生产成本预算表（322亩南瓜）'!J24+'13-1)生产成本预算表（3亩地瓜）'!J24+'13-1)生产成本预算表（3亩圣女果)'!J24+'13-1)生产成本预算表（55亩大棚) '!J24+'13-1)生产成本预算表（25亩鱼塘)'!J24+'13-1)生产成本预算表（138亩椰子)'!J24+'13-1)生产成本预算表（17亩菠萝)'!J24+'13-1)生产成本预算表（50亩南瓜)'!J24+'13-1)生产成本预算表（咸水鸭)'!J24</f>
        <v>1473.975</v>
      </c>
      <c r="K24" s="11">
        <f>'13-1)生产成本预算表（322亩南瓜）'!K24+'13-1)生产成本预算表（3亩地瓜）'!K24+'13-1)生产成本预算表（3亩圣女果)'!K24+'13-1)生产成本预算表（55亩大棚) '!K24+'13-1)生产成本预算表（25亩鱼塘)'!K24+'13-1)生产成本预算表（138亩椰子)'!K24+'13-1)生产成本预算表（17亩菠萝)'!K24+'13-1)生产成本预算表（50亩南瓜)'!K24+'13-1)生产成本预算表（咸水鸭)'!K24</f>
        <v>1473.975</v>
      </c>
      <c r="L24" s="41" t="e">
        <f t="shared" si="2"/>
        <v>#DIV/0!</v>
      </c>
      <c r="M24" s="5"/>
    </row>
    <row r="25" spans="1:13" ht="18" customHeight="1">
      <c r="A25" s="72" t="s">
        <v>652</v>
      </c>
      <c r="B25" s="11">
        <f>'13-1)生产成本预算表（322亩南瓜）'!B25+'13-1)生产成本预算表（3亩地瓜）'!B25+'13-1)生产成本预算表（3亩圣女果)'!B25+'13-1)生产成本预算表（55亩大棚) '!B25+'13-1)生产成本预算表（25亩鱼塘)'!B25+'13-1)生产成本预算表（138亩椰子)'!B25+'13-1)生产成本预算表（17亩菠萝)'!B25+'13-1)生产成本预算表（50亩南瓜)'!B25+'13-1)生产成本预算表（咸水鸭)'!B25</f>
        <v>0</v>
      </c>
      <c r="C25" s="11">
        <f>'13-1)生产成本预算表（322亩南瓜）'!C25+'13-1)生产成本预算表（3亩地瓜）'!C25+'13-1)生产成本预算表（3亩圣女果)'!C25+'13-1)生产成本预算表（55亩大棚) '!C25+'13-1)生产成本预算表（25亩鱼塘)'!C25+'13-1)生产成本预算表（138亩椰子)'!C25+'13-1)生产成本预算表（17亩菠萝)'!C25+'13-1)生产成本预算表（50亩南瓜)'!C25+'13-1)生产成本预算表（咸水鸭)'!C25</f>
        <v>0</v>
      </c>
      <c r="D25" s="11">
        <f>'13-1)生产成本预算表（322亩南瓜）'!D25+'13-1)生产成本预算表（3亩地瓜）'!D25+'13-1)生产成本预算表（3亩圣女果)'!D25+'13-1)生产成本预算表（55亩大棚) '!D25+'13-1)生产成本预算表（25亩鱼塘)'!D25+'13-1)生产成本预算表（138亩椰子)'!D25+'13-1)生产成本预算表（17亩菠萝)'!D25+'13-1)生产成本预算表（50亩南瓜)'!D25+'13-1)生产成本预算表（咸水鸭)'!D25</f>
        <v>0</v>
      </c>
      <c r="E25" s="11">
        <f t="shared" si="13"/>
        <v>0</v>
      </c>
      <c r="F25" s="40" t="e">
        <f t="shared" si="1"/>
        <v>#DIV/0!</v>
      </c>
      <c r="G25" s="11">
        <f t="shared" si="14"/>
        <v>7184.460000000002</v>
      </c>
      <c r="H25" s="11">
        <f>'13-1)生产成本预算表（322亩南瓜）'!H25+'13-1)生产成本预算表（3亩地瓜）'!H25+'13-1)生产成本预算表（3亩圣女果)'!H25+'13-1)生产成本预算表（55亩大棚) '!H25+'13-1)生产成本预算表（25亩鱼塘)'!H25+'13-1)生产成本预算表（138亩椰子)'!H25+'13-1)生产成本预算表（17亩菠萝)'!H25+'13-1)生产成本预算表（50亩南瓜)'!H25+'13-1)生产成本预算表（咸水鸭)'!H25</f>
        <v>1796.1150000000002</v>
      </c>
      <c r="I25" s="11">
        <f>'13-1)生产成本预算表（322亩南瓜）'!I25+'13-1)生产成本预算表（3亩地瓜）'!I25+'13-1)生产成本预算表（3亩圣女果)'!I25+'13-1)生产成本预算表（55亩大棚) '!I25+'13-1)生产成本预算表（25亩鱼塘)'!I25+'13-1)生产成本预算表（138亩椰子)'!I25+'13-1)生产成本预算表（17亩菠萝)'!I25+'13-1)生产成本预算表（50亩南瓜)'!I25+'13-1)生产成本预算表（咸水鸭)'!I25</f>
        <v>1796.1150000000002</v>
      </c>
      <c r="J25" s="11">
        <f>'13-1)生产成本预算表（322亩南瓜）'!J25+'13-1)生产成本预算表（3亩地瓜）'!J25+'13-1)生产成本预算表（3亩圣女果)'!J25+'13-1)生产成本预算表（55亩大棚) '!J25+'13-1)生产成本预算表（25亩鱼塘)'!J25+'13-1)生产成本预算表（138亩椰子)'!J25+'13-1)生产成本预算表（17亩菠萝)'!J25+'13-1)生产成本预算表（50亩南瓜)'!J25+'13-1)生产成本预算表（咸水鸭)'!J25</f>
        <v>1796.1150000000002</v>
      </c>
      <c r="K25" s="11">
        <f>'13-1)生产成本预算表（322亩南瓜）'!K25+'13-1)生产成本预算表（3亩地瓜）'!K25+'13-1)生产成本预算表（3亩圣女果)'!K25+'13-1)生产成本预算表（55亩大棚) '!K25+'13-1)生产成本预算表（25亩鱼塘)'!K25+'13-1)生产成本预算表（138亩椰子)'!K25+'13-1)生产成本预算表（17亩菠萝)'!K25+'13-1)生产成本预算表（50亩南瓜)'!K25+'13-1)生产成本预算表（咸水鸭)'!K25</f>
        <v>1796.1150000000005</v>
      </c>
      <c r="L25" s="41" t="e">
        <f t="shared" si="2"/>
        <v>#DIV/0!</v>
      </c>
      <c r="M25" s="5"/>
    </row>
    <row r="26" spans="1:13" ht="18" customHeight="1">
      <c r="A26" s="108" t="s">
        <v>653</v>
      </c>
      <c r="B26" s="11">
        <f>'13-1)生产成本预算表（322亩南瓜）'!B26+'13-1)生产成本预算表（3亩地瓜）'!B26+'13-1)生产成本预算表（3亩圣女果)'!B26+'13-1)生产成本预算表（55亩大棚) '!B26+'13-1)生产成本预算表（25亩鱼塘)'!B26+'13-1)生产成本预算表（138亩椰子)'!B26+'13-1)生产成本预算表（17亩菠萝)'!B26+'13-1)生产成本预算表（50亩南瓜)'!B26+'13-1)生产成本预算表（咸水鸭)'!B26</f>
        <v>0</v>
      </c>
      <c r="C26" s="11">
        <f>'13-1)生产成本预算表（322亩南瓜）'!C26+'13-1)生产成本预算表（3亩地瓜）'!C26+'13-1)生产成本预算表（3亩圣女果)'!C26+'13-1)生产成本预算表（55亩大棚) '!C26+'13-1)生产成本预算表（25亩鱼塘)'!C26+'13-1)生产成本预算表（138亩椰子)'!C26+'13-1)生产成本预算表（17亩菠萝)'!C26+'13-1)生产成本预算表（50亩南瓜)'!C26+'13-1)生产成本预算表（咸水鸭)'!C26</f>
        <v>197815.1</v>
      </c>
      <c r="D26" s="11">
        <f>'13-1)生产成本预算表（322亩南瓜）'!D26+'13-1)生产成本预算表（3亩地瓜）'!D26+'13-1)生产成本预算表（3亩圣女果)'!D26+'13-1)生产成本预算表（55亩大棚) '!D26+'13-1)生产成本预算表（25亩鱼塘)'!D26+'13-1)生产成本预算表（138亩椰子)'!D26+'13-1)生产成本预算表（17亩菠萝)'!D26+'13-1)生产成本预算表（50亩南瓜)'!D26+'13-1)生产成本预算表（咸水鸭)'!D26</f>
        <v>80961</v>
      </c>
      <c r="E26" s="11">
        <f t="shared" si="13"/>
        <v>278776.1</v>
      </c>
      <c r="F26" s="40" t="e">
        <f t="shared" si="1"/>
        <v>#DIV/0!</v>
      </c>
      <c r="G26" s="11">
        <f t="shared" si="14"/>
        <v>900266.53</v>
      </c>
      <c r="H26" s="11">
        <f>'13-1)生产成本预算表（322亩南瓜）'!H26+'13-1)生产成本预算表（3亩地瓜）'!H26+'13-1)生产成本预算表（3亩圣女果)'!H26+'13-1)生产成本预算表（55亩大棚) '!H26+'13-1)生产成本预算表（25亩鱼塘)'!H26+'13-1)生产成本预算表（138亩椰子)'!H26+'13-1)生产成本预算表（17亩菠萝)'!H26+'13-1)生产成本预算表（50亩南瓜)'!H26+'13-1)生产成本预算表（咸水鸭)'!H26</f>
        <v>79038.84</v>
      </c>
      <c r="I26" s="11">
        <f>'13-1)生产成本预算表（322亩南瓜）'!I26+'13-1)生产成本预算表（3亩地瓜）'!I26+'13-1)生产成本预算表（3亩圣女果)'!I26+'13-1)生产成本预算表（55亩大棚) '!I26+'13-1)生产成本预算表（25亩鱼塘)'!I26+'13-1)生产成本预算表（138亩椰子)'!I26+'13-1)生产成本预算表（17亩菠萝)'!I26+'13-1)生产成本预算表（50亩南瓜)'!I26+'13-1)生产成本预算表（咸水鸭)'!I26</f>
        <v>251859.375</v>
      </c>
      <c r="J26" s="11">
        <f>'13-1)生产成本预算表（322亩南瓜）'!J26+'13-1)生产成本预算表（3亩地瓜）'!J26+'13-1)生产成本预算表（3亩圣女果)'!J26+'13-1)生产成本预算表（55亩大棚) '!J26+'13-1)生产成本预算表（25亩鱼塘)'!J26+'13-1)生产成本预算表（138亩椰子)'!J26+'13-1)生产成本预算表（17亩菠萝)'!J26+'13-1)生产成本预算表（50亩南瓜)'!J26+'13-1)生产成本预算表（咸水鸭)'!J26</f>
        <v>255359.375</v>
      </c>
      <c r="K26" s="11">
        <f>'13-1)生产成本预算表（322亩南瓜）'!K26+'13-1)生产成本预算表（3亩地瓜）'!K26+'13-1)生产成本预算表（3亩圣女果)'!K26+'13-1)生产成本预算表（55亩大棚) '!K26+'13-1)生产成本预算表（25亩鱼塘)'!K26+'13-1)生产成本预算表（138亩椰子)'!K26+'13-1)生产成本预算表（17亩菠萝)'!K26+'13-1)生产成本预算表（50亩南瓜)'!K26+'13-1)生产成本预算表（咸水鸭)'!K26</f>
        <v>314008.94</v>
      </c>
      <c r="L26" s="41">
        <f t="shared" si="2"/>
        <v>3.2293533412656252</v>
      </c>
      <c r="M26" s="5"/>
    </row>
    <row r="27" spans="1:13" ht="18" customHeight="1">
      <c r="A27" s="108" t="s">
        <v>654</v>
      </c>
      <c r="B27" s="11">
        <f aca="true" t="shared" si="15" ref="B27:K27">SUM(B28:B31)</f>
        <v>0</v>
      </c>
      <c r="C27" s="11">
        <f t="shared" si="15"/>
        <v>201725.06</v>
      </c>
      <c r="D27" s="26">
        <f t="shared" si="15"/>
        <v>6600</v>
      </c>
      <c r="E27" s="11">
        <f t="shared" si="15"/>
        <v>208325.06</v>
      </c>
      <c r="F27" s="40" t="e">
        <f t="shared" si="1"/>
        <v>#DIV/0!</v>
      </c>
      <c r="G27" s="11">
        <f t="shared" si="15"/>
        <v>1698212.4</v>
      </c>
      <c r="H27" s="26">
        <f t="shared" si="15"/>
        <v>230387.8</v>
      </c>
      <c r="I27" s="26">
        <f t="shared" si="15"/>
        <v>234430</v>
      </c>
      <c r="J27" s="26">
        <f t="shared" si="15"/>
        <v>390430</v>
      </c>
      <c r="K27" s="26">
        <f t="shared" si="15"/>
        <v>842964.6</v>
      </c>
      <c r="L27" s="41">
        <f t="shared" si="2"/>
        <v>8.151743242027628</v>
      </c>
      <c r="M27" s="5"/>
    </row>
    <row r="28" spans="1:13" ht="18" customHeight="1">
      <c r="A28" s="108" t="s">
        <v>655</v>
      </c>
      <c r="B28" s="11">
        <f>'13-1)生产成本预算表（322亩南瓜）'!B28+'13-1)生产成本预算表（3亩地瓜）'!B28+'13-1)生产成本预算表（3亩圣女果)'!B28+'13-1)生产成本预算表（55亩大棚) '!B28+'13-1)生产成本预算表（25亩鱼塘)'!B28+'13-1)生产成本预算表（138亩椰子)'!B28+'13-1)生产成本预算表（17亩菠萝)'!B28+'13-1)生产成本预算表（50亩南瓜)'!B28+'13-1)生产成本预算表（咸水鸭)'!B28</f>
        <v>0</v>
      </c>
      <c r="C28" s="11">
        <f>'13-1)生产成本预算表（322亩南瓜）'!C28+'13-1)生产成本预算表（3亩地瓜）'!C28+'13-1)生产成本预算表（3亩圣女果)'!C28+'13-1)生产成本预算表（55亩大棚) '!C28+'13-1)生产成本预算表（25亩鱼塘)'!C28+'13-1)生产成本预算表（138亩椰子)'!C28+'13-1)生产成本预算表（17亩菠萝)'!C28+'13-1)生产成本预算表（50亩南瓜)'!C28+'13-1)生产成本预算表（咸水鸭)'!C28</f>
        <v>22318</v>
      </c>
      <c r="D28" s="11">
        <f>'13-1)生产成本预算表（322亩南瓜）'!D28+'13-1)生产成本预算表（3亩地瓜）'!D28+'13-1)生产成本预算表（3亩圣女果)'!D28+'13-1)生产成本预算表（55亩大棚) '!D28+'13-1)生产成本预算表（25亩鱼塘)'!D28+'13-1)生产成本预算表（138亩椰子)'!D28+'13-1)生产成本预算表（17亩菠萝)'!D28+'13-1)生产成本预算表（50亩南瓜)'!D28+'13-1)生产成本预算表（咸水鸭)'!D28</f>
        <v>6600</v>
      </c>
      <c r="E28" s="11">
        <f aca="true" t="shared" si="16" ref="E28:E31">C28+D28</f>
        <v>28918</v>
      </c>
      <c r="F28" s="40" t="e">
        <f t="shared" si="1"/>
        <v>#DIV/0!</v>
      </c>
      <c r="G28" s="11">
        <f aca="true" t="shared" si="17" ref="G28:G31">SUM(H28:K28)</f>
        <v>132150</v>
      </c>
      <c r="H28" s="11">
        <f>'13-1)生产成本预算表（322亩南瓜）'!H28+'13-1)生产成本预算表（3亩地瓜）'!H28+'13-1)生产成本预算表（3亩圣女果)'!H28+'13-1)生产成本预算表（55亩大棚) '!H28+'13-1)生产成本预算表（25亩鱼塘)'!H28+'13-1)生产成本预算表（138亩椰子)'!H28+'13-1)生产成本预算表（17亩菠萝)'!H28+'13-1)生产成本预算表（50亩南瓜)'!H28+'13-1)生产成本预算表（咸水鸭)'!H28</f>
        <v>10000</v>
      </c>
      <c r="I28" s="11">
        <f>'13-1)生产成本预算表（322亩南瓜）'!I28+'13-1)生产成本预算表（3亩地瓜）'!I28+'13-1)生产成本预算表（3亩圣女果)'!I28+'13-1)生产成本预算表（55亩大棚) '!I28+'13-1)生产成本预算表（25亩鱼塘)'!I28+'13-1)生产成本预算表（138亩椰子)'!I28+'13-1)生产成本预算表（17亩菠萝)'!I28+'13-1)生产成本预算表（50亩南瓜)'!I28+'13-1)生产成本预算表（咸水鸭)'!I28</f>
        <v>26500</v>
      </c>
      <c r="J28" s="11">
        <f>'13-1)生产成本预算表（322亩南瓜）'!J28+'13-1)生产成本预算表（3亩地瓜）'!J28+'13-1)生产成本预算表（3亩圣女果)'!J28+'13-1)生产成本预算表（55亩大棚) '!J28+'13-1)生产成本预算表（25亩鱼塘)'!J28+'13-1)生产成本预算表（138亩椰子)'!J28+'13-1)生产成本预算表（17亩菠萝)'!J28+'13-1)生产成本预算表（50亩南瓜)'!J28+'13-1)生产成本预算表（咸水鸭)'!J28</f>
        <v>42500</v>
      </c>
      <c r="K28" s="11">
        <f>'13-1)生产成本预算表（322亩南瓜）'!K28+'13-1)生产成本预算表（3亩地瓜）'!K28+'13-1)生产成本预算表（3亩圣女果)'!K28+'13-1)生产成本预算表（55亩大棚) '!K28+'13-1)生产成本预算表（25亩鱼塘)'!K28+'13-1)生产成本预算表（138亩椰子)'!K28+'13-1)生产成本预算表（17亩菠萝)'!K28+'13-1)生产成本预算表（50亩南瓜)'!K28+'13-1)生产成本预算表（咸水鸭)'!K28</f>
        <v>53150</v>
      </c>
      <c r="L28" s="41">
        <f t="shared" si="2"/>
        <v>4.569818106369735</v>
      </c>
      <c r="M28" s="5"/>
    </row>
    <row r="29" spans="1:13" ht="18" customHeight="1">
      <c r="A29" s="108" t="s">
        <v>656</v>
      </c>
      <c r="B29" s="11">
        <f>'13-1)生产成本预算表（322亩南瓜）'!B29+'13-1)生产成本预算表（3亩地瓜）'!B29+'13-1)生产成本预算表（3亩圣女果)'!B29+'13-1)生产成本预算表（55亩大棚) '!B29+'13-1)生产成本预算表（25亩鱼塘)'!B29+'13-1)生产成本预算表（138亩椰子)'!B29+'13-1)生产成本预算表（17亩菠萝)'!B29+'13-1)生产成本预算表（50亩南瓜)'!B29+'13-1)生产成本预算表（咸水鸭)'!B29</f>
        <v>0</v>
      </c>
      <c r="C29" s="11">
        <f>'13-1)生产成本预算表（322亩南瓜）'!C29+'13-1)生产成本预算表（3亩地瓜）'!C29+'13-1)生产成本预算表（3亩圣女果)'!C29+'13-1)生产成本预算表（55亩大棚) '!C29+'13-1)生产成本预算表（25亩鱼塘)'!C29+'13-1)生产成本预算表（138亩椰子)'!C29+'13-1)生产成本预算表（17亩菠萝)'!C29+'13-1)生产成本预算表（50亩南瓜)'!C29+'13-1)生产成本预算表（咸水鸭)'!C29</f>
        <v>131563.06</v>
      </c>
      <c r="D29" s="11">
        <f>'13-1)生产成本预算表（322亩南瓜）'!D29+'13-1)生产成本预算表（3亩地瓜）'!D29+'13-1)生产成本预算表（3亩圣女果)'!D29+'13-1)生产成本预算表（55亩大棚) '!D29+'13-1)生产成本预算表（25亩鱼塘)'!D29+'13-1)生产成本预算表（138亩椰子)'!D29+'13-1)生产成本预算表（17亩菠萝)'!D29+'13-1)生产成本预算表（50亩南瓜)'!D29+'13-1)生产成本预算表（咸水鸭)'!D29</f>
        <v>0</v>
      </c>
      <c r="E29" s="11">
        <f t="shared" si="16"/>
        <v>131563.06</v>
      </c>
      <c r="F29" s="40" t="e">
        <f t="shared" si="1"/>
        <v>#DIV/0!</v>
      </c>
      <c r="G29" s="11">
        <f t="shared" si="17"/>
        <v>1146085</v>
      </c>
      <c r="H29" s="11">
        <f>'13-1)生产成本预算表（322亩南瓜）'!H29+'13-1)生产成本预算表（3亩地瓜）'!H29+'13-1)生产成本预算表（3亩圣女果)'!H29+'13-1)生产成本预算表（55亩大棚) '!H29+'13-1)生产成本预算表（25亩鱼塘)'!H29+'13-1)生产成本预算表（138亩椰子)'!H29+'13-1)生产成本预算表（17亩菠萝)'!H29+'13-1)生产成本预算表（50亩南瓜)'!H29+'13-1)生产成本预算表（咸水鸭)'!H29</f>
        <v>116260</v>
      </c>
      <c r="I29" s="11">
        <f>'13-1)生产成本预算表（322亩南瓜）'!I29+'13-1)生产成本预算表（3亩地瓜）'!I29+'13-1)生产成本预算表（3亩圣女果)'!I29+'13-1)生产成本预算表（55亩大棚) '!I29+'13-1)生产成本预算表（25亩鱼塘)'!I29+'13-1)生产成本预算表（138亩椰子)'!I29+'13-1)生产成本预算表（17亩菠萝)'!I29+'13-1)生产成本预算表（50亩南瓜)'!I29+'13-1)生产成本预算表（咸水鸭)'!I29</f>
        <v>145780</v>
      </c>
      <c r="J29" s="11">
        <f>'13-1)生产成本预算表（322亩南瓜）'!J29+'13-1)生产成本预算表（3亩地瓜）'!J29+'13-1)生产成本预算表（3亩圣女果)'!J29+'13-1)生产成本预算表（55亩大棚) '!J29+'13-1)生产成本预算表（25亩鱼塘)'!J29+'13-1)生产成本预算表（138亩椰子)'!J29+'13-1)生产成本预算表（17亩菠萝)'!J29+'13-1)生产成本预算表（50亩南瓜)'!J29+'13-1)生产成本预算表（咸水鸭)'!J29</f>
        <v>277780</v>
      </c>
      <c r="K29" s="11">
        <f>'13-1)生产成本预算表（322亩南瓜）'!K29+'13-1)生产成本预算表（3亩地瓜）'!K29+'13-1)生产成本预算表（3亩圣女果)'!K29+'13-1)生产成本预算表（55亩大棚) '!K29+'13-1)生产成本预算表（25亩鱼塘)'!K29+'13-1)生产成本预算表（138亩椰子)'!K29+'13-1)生产成本预算表（17亩菠萝)'!K29+'13-1)生产成本预算表（50亩南瓜)'!K29+'13-1)生产成本预算表（咸水鸭)'!K29</f>
        <v>606265</v>
      </c>
      <c r="L29" s="41">
        <f t="shared" si="2"/>
        <v>8.711297836946024</v>
      </c>
      <c r="M29" s="5"/>
    </row>
    <row r="30" spans="1:13" ht="18" customHeight="1">
      <c r="A30" s="108" t="s">
        <v>657</v>
      </c>
      <c r="B30" s="11">
        <f>'13-1)生产成本预算表（322亩南瓜）'!B30+'13-1)生产成本预算表（3亩地瓜）'!B30+'13-1)生产成本预算表（3亩圣女果)'!B30+'13-1)生产成本预算表（55亩大棚) '!B30+'13-1)生产成本预算表（25亩鱼塘)'!B30+'13-1)生产成本预算表（138亩椰子)'!B30+'13-1)生产成本预算表（17亩菠萝)'!B30+'13-1)生产成本预算表（50亩南瓜)'!B30+'13-1)生产成本预算表（咸水鸭)'!B30</f>
        <v>0</v>
      </c>
      <c r="C30" s="11">
        <f>'13-1)生产成本预算表（322亩南瓜）'!C30+'13-1)生产成本预算表（3亩地瓜）'!C30+'13-1)生产成本预算表（3亩圣女果)'!C30+'13-1)生产成本预算表（55亩大棚) '!C30+'13-1)生产成本预算表（25亩鱼塘)'!C30+'13-1)生产成本预算表（138亩椰子)'!C30+'13-1)生产成本预算表（17亩菠萝)'!C30+'13-1)生产成本预算表（50亩南瓜)'!C30+'13-1)生产成本预算表（咸水鸭)'!C30</f>
        <v>47263</v>
      </c>
      <c r="D30" s="11">
        <f>'13-1)生产成本预算表（322亩南瓜）'!D30+'13-1)生产成本预算表（3亩地瓜）'!D30+'13-1)生产成本预算表（3亩圣女果)'!D30+'13-1)生产成本预算表（55亩大棚) '!D30+'13-1)生产成本预算表（25亩鱼塘)'!D30+'13-1)生产成本预算表（138亩椰子)'!D30+'13-1)生产成本预算表（17亩菠萝)'!D30+'13-1)生产成本预算表（50亩南瓜)'!D30+'13-1)生产成本预算表（咸水鸭)'!D30</f>
        <v>0</v>
      </c>
      <c r="E30" s="11">
        <f t="shared" si="16"/>
        <v>47263</v>
      </c>
      <c r="F30" s="40" t="e">
        <f t="shared" si="1"/>
        <v>#DIV/0!</v>
      </c>
      <c r="G30" s="11">
        <f t="shared" si="17"/>
        <v>224110</v>
      </c>
      <c r="H30" s="11">
        <f>'13-1)生产成本预算表（322亩南瓜）'!H30+'13-1)生产成本预算表（3亩地瓜）'!H30+'13-1)生产成本预算表（3亩圣女果)'!H30+'13-1)生产成本预算表（55亩大棚) '!H30+'13-1)生产成本预算表（25亩鱼塘)'!H30+'13-1)生产成本预算表（138亩椰子)'!H30+'13-1)生产成本预算表（17亩菠萝)'!H30+'13-1)生产成本预算表（50亩南瓜)'!H30+'13-1)生产成本预算表（咸水鸭)'!H30</f>
        <v>65360</v>
      </c>
      <c r="I30" s="11">
        <f>'13-1)生产成本预算表（322亩南瓜）'!I30+'13-1)生产成本预算表（3亩地瓜）'!I30+'13-1)生产成本预算表（3亩圣女果)'!I30+'13-1)生产成本预算表（55亩大棚) '!I30+'13-1)生产成本预算表（25亩鱼塘)'!I30+'13-1)生产成本预算表（138亩椰子)'!I30+'13-1)生产成本预算表（17亩菠萝)'!I30+'13-1)生产成本预算表（50亩南瓜)'!I30+'13-1)生产成本预算表（咸水鸭)'!I30</f>
        <v>36650</v>
      </c>
      <c r="J30" s="11">
        <f>'13-1)生产成本预算表（322亩南瓜）'!J30+'13-1)生产成本预算表（3亩地瓜）'!J30+'13-1)生产成本预算表（3亩圣女果)'!J30+'13-1)生产成本预算表（55亩大棚) '!J30+'13-1)生产成本预算表（25亩鱼塘)'!J30+'13-1)生产成本预算表（138亩椰子)'!J30+'13-1)生产成本预算表（17亩菠萝)'!J30+'13-1)生产成本预算表（50亩南瓜)'!J30+'13-1)生产成本预算表（咸水鸭)'!J30</f>
        <v>44650</v>
      </c>
      <c r="K30" s="11">
        <f>'13-1)生产成本预算表（322亩南瓜）'!K30+'13-1)生产成本预算表（3亩地瓜）'!K30+'13-1)生产成本预算表（3亩圣女果)'!K30+'13-1)生产成本预算表（55亩大棚) '!K30+'13-1)生产成本预算表（25亩鱼塘)'!K30+'13-1)生产成本预算表（138亩椰子)'!K30+'13-1)生产成本预算表（17亩菠萝)'!K30+'13-1)生产成本预算表（50亩南瓜)'!K30+'13-1)生产成本预算表（咸水鸭)'!K30</f>
        <v>77450</v>
      </c>
      <c r="L30" s="41">
        <f t="shared" si="2"/>
        <v>4.741764170704356</v>
      </c>
      <c r="M30" s="5"/>
    </row>
    <row r="31" spans="1:13" ht="18" customHeight="1">
      <c r="A31" s="108" t="s">
        <v>658</v>
      </c>
      <c r="B31" s="11">
        <f>'13-1)生产成本预算表（322亩南瓜）'!B31+'13-1)生产成本预算表（3亩地瓜）'!B31+'13-1)生产成本预算表（3亩圣女果)'!B31+'13-1)生产成本预算表（55亩大棚) '!B31+'13-1)生产成本预算表（25亩鱼塘)'!B31+'13-1)生产成本预算表（138亩椰子)'!B31+'13-1)生产成本预算表（17亩菠萝)'!B31+'13-1)生产成本预算表（50亩南瓜)'!B31+'13-1)生产成本预算表（咸水鸭)'!B31</f>
        <v>0</v>
      </c>
      <c r="C31" s="11">
        <f>'13-1)生产成本预算表（322亩南瓜）'!C31+'13-1)生产成本预算表（3亩地瓜）'!C31+'13-1)生产成本预算表（3亩圣女果)'!C31+'13-1)生产成本预算表（55亩大棚) '!C31+'13-1)生产成本预算表（25亩鱼塘)'!C31+'13-1)生产成本预算表（138亩椰子)'!C31+'13-1)生产成本预算表（17亩菠萝)'!C31+'13-1)生产成本预算表（50亩南瓜)'!C31+'13-1)生产成本预算表（咸水鸭)'!C31</f>
        <v>581</v>
      </c>
      <c r="D31" s="11">
        <f>'13-1)生产成本预算表（322亩南瓜）'!D31+'13-1)生产成本预算表（3亩地瓜）'!D31+'13-1)生产成本预算表（3亩圣女果)'!D31+'13-1)生产成本预算表（55亩大棚) '!D31+'13-1)生产成本预算表（25亩鱼塘)'!D31+'13-1)生产成本预算表（138亩椰子)'!D31+'13-1)生产成本预算表（17亩菠萝)'!D31+'13-1)生产成本预算表（50亩南瓜)'!D31+'13-1)生产成本预算表（咸水鸭)'!D31</f>
        <v>0</v>
      </c>
      <c r="E31" s="11">
        <f t="shared" si="16"/>
        <v>581</v>
      </c>
      <c r="F31" s="40" t="e">
        <f t="shared" si="1"/>
        <v>#DIV/0!</v>
      </c>
      <c r="G31" s="11">
        <f t="shared" si="17"/>
        <v>195867.40000000002</v>
      </c>
      <c r="H31" s="11">
        <f>'13-1)生产成本预算表（322亩南瓜）'!H31+'13-1)生产成本预算表（3亩地瓜）'!H31+'13-1)生产成本预算表（3亩圣女果)'!H31+'13-1)生产成本预算表（55亩大棚) '!H31+'13-1)生产成本预算表（25亩鱼塘)'!H31+'13-1)生产成本预算表（138亩椰子)'!H31+'13-1)生产成本预算表（17亩菠萝)'!H31+'13-1)生产成本预算表（50亩南瓜)'!H31+'13-1)生产成本预算表（咸水鸭)'!H31</f>
        <v>38767.8</v>
      </c>
      <c r="I31" s="11">
        <f>'13-1)生产成本预算表（322亩南瓜）'!I31+'13-1)生产成本预算表（3亩地瓜）'!I31+'13-1)生产成本预算表（3亩圣女果)'!I31+'13-1)生产成本预算表（55亩大棚) '!I31+'13-1)生产成本预算表（25亩鱼塘)'!I31+'13-1)生产成本预算表（138亩椰子)'!I31+'13-1)生产成本预算表（17亩菠萝)'!I31+'13-1)生产成本预算表（50亩南瓜)'!I31+'13-1)生产成本预算表（咸水鸭)'!I31</f>
        <v>25500</v>
      </c>
      <c r="J31" s="11">
        <f>'13-1)生产成本预算表（322亩南瓜）'!J31+'13-1)生产成本预算表（3亩地瓜）'!J31+'13-1)生产成本预算表（3亩圣女果)'!J31+'13-1)生产成本预算表（55亩大棚) '!J31+'13-1)生产成本预算表（25亩鱼塘)'!J31+'13-1)生产成本预算表（138亩椰子)'!J31+'13-1)生产成本预算表（17亩菠萝)'!J31+'13-1)生产成本预算表（50亩南瓜)'!J31+'13-1)生产成本预算表（咸水鸭)'!J31</f>
        <v>25500</v>
      </c>
      <c r="K31" s="11">
        <f>'13-1)生产成本预算表（322亩南瓜）'!K31+'13-1)生产成本预算表（3亩地瓜）'!K31+'13-1)生产成本预算表（3亩圣女果)'!K31+'13-1)生产成本预算表（55亩大棚) '!K31+'13-1)生产成本预算表（25亩鱼塘)'!K31+'13-1)生产成本预算表（138亩椰子)'!K31+'13-1)生产成本预算表（17亩菠萝)'!K31+'13-1)生产成本预算表（50亩南瓜)'!K31+'13-1)生产成本预算表（咸水鸭)'!K31</f>
        <v>106099.6</v>
      </c>
      <c r="L31" s="41">
        <f t="shared" si="2"/>
        <v>337.1211703958692</v>
      </c>
      <c r="M31" s="5"/>
    </row>
    <row r="32" spans="1:13" ht="18" customHeight="1">
      <c r="A32" s="25" t="s">
        <v>659</v>
      </c>
      <c r="B32" s="26">
        <f aca="true" t="shared" si="18" ref="B32:K32">SUM(B33:B42)</f>
        <v>0</v>
      </c>
      <c r="C32" s="26">
        <f t="shared" si="18"/>
        <v>54174.16</v>
      </c>
      <c r="D32" s="26">
        <f t="shared" si="18"/>
        <v>4102.23</v>
      </c>
      <c r="E32" s="26">
        <f t="shared" si="18"/>
        <v>58276.39</v>
      </c>
      <c r="F32" s="40" t="e">
        <f t="shared" si="1"/>
        <v>#DIV/0!</v>
      </c>
      <c r="G32" s="26">
        <f t="shared" si="18"/>
        <v>167055.6</v>
      </c>
      <c r="H32" s="26">
        <f t="shared" si="18"/>
        <v>8250</v>
      </c>
      <c r="I32" s="26">
        <f t="shared" si="18"/>
        <v>20790</v>
      </c>
      <c r="J32" s="26">
        <f t="shared" si="18"/>
        <v>28790</v>
      </c>
      <c r="K32" s="26">
        <f t="shared" si="18"/>
        <v>109225.6</v>
      </c>
      <c r="L32" s="41">
        <f t="shared" si="2"/>
        <v>2.866608587113924</v>
      </c>
      <c r="M32" s="5"/>
    </row>
    <row r="33" spans="1:13" ht="18" customHeight="1">
      <c r="A33" s="25" t="s">
        <v>660</v>
      </c>
      <c r="B33" s="11">
        <f>'13-1)生产成本预算表（322亩南瓜）'!B33+'13-1)生产成本预算表（3亩地瓜）'!B33+'13-1)生产成本预算表（3亩圣女果)'!B33+'13-1)生产成本预算表（55亩大棚) '!B33+'13-1)生产成本预算表（25亩鱼塘)'!B33+'13-1)生产成本预算表（138亩椰子)'!B33+'13-1)生产成本预算表（17亩菠萝)'!B33+'13-1)生产成本预算表（50亩南瓜)'!B33+'13-1)生产成本预算表（咸水鸭)'!B33</f>
        <v>0</v>
      </c>
      <c r="C33" s="11">
        <f>'13-1)生产成本预算表（322亩南瓜）'!C33+'13-1)生产成本预算表（3亩地瓜）'!C33+'13-1)生产成本预算表（3亩圣女果)'!C33+'13-1)生产成本预算表（55亩大棚) '!C33+'13-1)生产成本预算表（25亩鱼塘)'!C33+'13-1)生产成本预算表（138亩椰子)'!C33+'13-1)生产成本预算表（17亩菠萝)'!C33+'13-1)生产成本预算表（50亩南瓜)'!C33+'13-1)生产成本预算表（咸水鸭)'!C33</f>
        <v>0</v>
      </c>
      <c r="D33" s="11">
        <f>'13-1)生产成本预算表（322亩南瓜）'!D33+'13-1)生产成本预算表（3亩地瓜）'!D33+'13-1)生产成本预算表（3亩圣女果)'!D33+'13-1)生产成本预算表（55亩大棚) '!D33+'13-1)生产成本预算表（25亩鱼塘)'!D33+'13-1)生产成本预算表（138亩椰子)'!D33+'13-1)生产成本预算表（17亩菠萝)'!D33+'13-1)生产成本预算表（50亩南瓜)'!D33+'13-1)生产成本预算表（咸水鸭)'!D33</f>
        <v>0</v>
      </c>
      <c r="E33" s="11">
        <f aca="true" t="shared" si="19" ref="E33:E42">C33+D33</f>
        <v>0</v>
      </c>
      <c r="F33" s="40" t="e">
        <f t="shared" si="1"/>
        <v>#DIV/0!</v>
      </c>
      <c r="G33" s="11">
        <f aca="true" t="shared" si="20" ref="G33:G42">SUM(H33:K33)</f>
        <v>0</v>
      </c>
      <c r="H33" s="11">
        <f>'13-1)生产成本预算表（322亩南瓜）'!H33+'13-1)生产成本预算表（3亩地瓜）'!H33+'13-1)生产成本预算表（3亩圣女果)'!H33+'13-1)生产成本预算表（55亩大棚) '!H33+'13-1)生产成本预算表（25亩鱼塘)'!H33+'13-1)生产成本预算表（138亩椰子)'!H33+'13-1)生产成本预算表（17亩菠萝)'!H33+'13-1)生产成本预算表（50亩南瓜)'!H33+'13-1)生产成本预算表（咸水鸭)'!H33</f>
        <v>0</v>
      </c>
      <c r="I33" s="11">
        <f>'13-1)生产成本预算表（322亩南瓜）'!I33+'13-1)生产成本预算表（3亩地瓜）'!I33+'13-1)生产成本预算表（3亩圣女果)'!I33+'13-1)生产成本预算表（55亩大棚) '!I33+'13-1)生产成本预算表（25亩鱼塘)'!I33+'13-1)生产成本预算表（138亩椰子)'!I33+'13-1)生产成本预算表（17亩菠萝)'!I33+'13-1)生产成本预算表（50亩南瓜)'!I33+'13-1)生产成本预算表（咸水鸭)'!I33</f>
        <v>0</v>
      </c>
      <c r="J33" s="11">
        <f>'13-1)生产成本预算表（322亩南瓜）'!J33+'13-1)生产成本预算表（3亩地瓜）'!J33+'13-1)生产成本预算表（3亩圣女果)'!J33+'13-1)生产成本预算表（55亩大棚) '!J33+'13-1)生产成本预算表（25亩鱼塘)'!J33+'13-1)生产成本预算表（138亩椰子)'!J33+'13-1)生产成本预算表（17亩菠萝)'!J33+'13-1)生产成本预算表（50亩南瓜)'!J33+'13-1)生产成本预算表（咸水鸭)'!J33</f>
        <v>0</v>
      </c>
      <c r="K33" s="11">
        <f>'13-1)生产成本预算表（322亩南瓜）'!K33+'13-1)生产成本预算表（3亩地瓜）'!K33+'13-1)生产成本预算表（3亩圣女果)'!K33+'13-1)生产成本预算表（55亩大棚) '!K33+'13-1)生产成本预算表（25亩鱼塘)'!K33+'13-1)生产成本预算表（138亩椰子)'!K33+'13-1)生产成本预算表（17亩菠萝)'!K33+'13-1)生产成本预算表（50亩南瓜)'!K33+'13-1)生产成本预算表（咸水鸭)'!K33</f>
        <v>0</v>
      </c>
      <c r="L33" s="41" t="e">
        <f t="shared" si="2"/>
        <v>#DIV/0!</v>
      </c>
      <c r="M33" s="5"/>
    </row>
    <row r="34" spans="1:13" ht="18" customHeight="1">
      <c r="A34" s="25" t="s">
        <v>661</v>
      </c>
      <c r="B34" s="11">
        <f>'13-1)生产成本预算表（322亩南瓜）'!B34+'13-1)生产成本预算表（3亩地瓜）'!B34+'13-1)生产成本预算表（3亩圣女果)'!B34+'13-1)生产成本预算表（55亩大棚) '!B34+'13-1)生产成本预算表（25亩鱼塘)'!B34+'13-1)生产成本预算表（138亩椰子)'!B34+'13-1)生产成本预算表（17亩菠萝)'!B34+'13-1)生产成本预算表（50亩南瓜)'!B34+'13-1)生产成本预算表（咸水鸭)'!B34</f>
        <v>0</v>
      </c>
      <c r="C34" s="11">
        <f>'13-1)生产成本预算表（322亩南瓜）'!C34+'13-1)生产成本预算表（3亩地瓜）'!C34+'13-1)生产成本预算表（3亩圣女果)'!C34+'13-1)生产成本预算表（55亩大棚) '!C34+'13-1)生产成本预算表（25亩鱼塘)'!C34+'13-1)生产成本预算表（138亩椰子)'!C34+'13-1)生产成本预算表（17亩菠萝)'!C34+'13-1)生产成本预算表（50亩南瓜)'!C34+'13-1)生产成本预算表（咸水鸭)'!C34</f>
        <v>0</v>
      </c>
      <c r="D34" s="11">
        <f>'13-1)生产成本预算表（322亩南瓜）'!D34+'13-1)生产成本预算表（3亩地瓜）'!D34+'13-1)生产成本预算表（3亩圣女果)'!D34+'13-1)生产成本预算表（55亩大棚) '!D34+'13-1)生产成本预算表（25亩鱼塘)'!D34+'13-1)生产成本预算表（138亩椰子)'!D34+'13-1)生产成本预算表（17亩菠萝)'!D34+'13-1)生产成本预算表（50亩南瓜)'!D34+'13-1)生产成本预算表（咸水鸭)'!D34</f>
        <v>0</v>
      </c>
      <c r="E34" s="11">
        <f t="shared" si="19"/>
        <v>0</v>
      </c>
      <c r="F34" s="40" t="e">
        <f t="shared" si="1"/>
        <v>#DIV/0!</v>
      </c>
      <c r="G34" s="11">
        <f t="shared" si="20"/>
        <v>0</v>
      </c>
      <c r="H34" s="11">
        <f>'13-1)生产成本预算表（322亩南瓜）'!H34+'13-1)生产成本预算表（3亩地瓜）'!H34+'13-1)生产成本预算表（3亩圣女果)'!H34+'13-1)生产成本预算表（55亩大棚) '!H34+'13-1)生产成本预算表（25亩鱼塘)'!H34+'13-1)生产成本预算表（138亩椰子)'!H34+'13-1)生产成本预算表（17亩菠萝)'!H34+'13-1)生产成本预算表（50亩南瓜)'!H34+'13-1)生产成本预算表（咸水鸭)'!H34</f>
        <v>0</v>
      </c>
      <c r="I34" s="11">
        <f>'13-1)生产成本预算表（322亩南瓜）'!I34+'13-1)生产成本预算表（3亩地瓜）'!I34+'13-1)生产成本预算表（3亩圣女果)'!I34+'13-1)生产成本预算表（55亩大棚) '!I34+'13-1)生产成本预算表（25亩鱼塘)'!I34+'13-1)生产成本预算表（138亩椰子)'!I34+'13-1)生产成本预算表（17亩菠萝)'!I34+'13-1)生产成本预算表（50亩南瓜)'!I34+'13-1)生产成本预算表（咸水鸭)'!I34</f>
        <v>0</v>
      </c>
      <c r="J34" s="11">
        <f>'13-1)生产成本预算表（322亩南瓜）'!J34+'13-1)生产成本预算表（3亩地瓜）'!J34+'13-1)生产成本预算表（3亩圣女果)'!J34+'13-1)生产成本预算表（55亩大棚) '!J34+'13-1)生产成本预算表（25亩鱼塘)'!J34+'13-1)生产成本预算表（138亩椰子)'!J34+'13-1)生产成本预算表（17亩菠萝)'!J34+'13-1)生产成本预算表（50亩南瓜)'!J34+'13-1)生产成本预算表（咸水鸭)'!J34</f>
        <v>0</v>
      </c>
      <c r="K34" s="11">
        <f>'13-1)生产成本预算表（322亩南瓜）'!K34+'13-1)生产成本预算表（3亩地瓜）'!K34+'13-1)生产成本预算表（3亩圣女果)'!K34+'13-1)生产成本预算表（55亩大棚) '!K34+'13-1)生产成本预算表（25亩鱼塘)'!K34+'13-1)生产成本预算表（138亩椰子)'!K34+'13-1)生产成本预算表（17亩菠萝)'!K34+'13-1)生产成本预算表（50亩南瓜)'!K34+'13-1)生产成本预算表（咸水鸭)'!K34</f>
        <v>0</v>
      </c>
      <c r="L34" s="41" t="e">
        <f t="shared" si="2"/>
        <v>#DIV/0!</v>
      </c>
      <c r="M34" s="5"/>
    </row>
    <row r="35" spans="1:13" ht="18" customHeight="1">
      <c r="A35" s="25" t="s">
        <v>662</v>
      </c>
      <c r="B35" s="11">
        <f>'13-1)生产成本预算表（322亩南瓜）'!B35+'13-1)生产成本预算表（3亩地瓜）'!B35+'13-1)生产成本预算表（3亩圣女果)'!B35+'13-1)生产成本预算表（55亩大棚) '!B35+'13-1)生产成本预算表（25亩鱼塘)'!B35+'13-1)生产成本预算表（138亩椰子)'!B35+'13-1)生产成本预算表（17亩菠萝)'!B35+'13-1)生产成本预算表（50亩南瓜)'!B35+'13-1)生产成本预算表（咸水鸭)'!B35</f>
        <v>0</v>
      </c>
      <c r="C35" s="11">
        <f>'13-1)生产成本预算表（322亩南瓜）'!C35+'13-1)生产成本预算表（3亩地瓜）'!C35+'13-1)生产成本预算表（3亩圣女果)'!C35+'13-1)生产成本预算表（55亩大棚) '!C35+'13-1)生产成本预算表（25亩鱼塘)'!C35+'13-1)生产成本预算表（138亩椰子)'!C35+'13-1)生产成本预算表（17亩菠萝)'!C35+'13-1)生产成本预算表（50亩南瓜)'!C35+'13-1)生产成本预算表（咸水鸭)'!C35</f>
        <v>5106.15</v>
      </c>
      <c r="D35" s="11">
        <f>'13-1)生产成本预算表（322亩南瓜）'!D35+'13-1)生产成本预算表（3亩地瓜）'!D35+'13-1)生产成本预算表（3亩圣女果)'!D35+'13-1)生产成本预算表（55亩大棚) '!D35+'13-1)生产成本预算表（25亩鱼塘)'!D35+'13-1)生产成本预算表（138亩椰子)'!D35+'13-1)生产成本预算表（17亩菠萝)'!D35+'13-1)生产成本预算表（50亩南瓜)'!D35+'13-1)生产成本预算表（咸水鸭)'!D35</f>
        <v>493.22</v>
      </c>
      <c r="E35" s="11">
        <f t="shared" si="19"/>
        <v>5599.37</v>
      </c>
      <c r="F35" s="40" t="e">
        <f t="shared" si="1"/>
        <v>#DIV/0!</v>
      </c>
      <c r="G35" s="11">
        <f t="shared" si="20"/>
        <v>60000</v>
      </c>
      <c r="H35" s="11">
        <f>'13-1)生产成本预算表（322亩南瓜）'!H35+'13-1)生产成本预算表（3亩地瓜）'!H35+'13-1)生产成本预算表（3亩圣女果)'!H35+'13-1)生产成本预算表（55亩大棚) '!H35+'13-1)生产成本预算表（25亩鱼塘)'!H35+'13-1)生产成本预算表（138亩椰子)'!H35+'13-1)生产成本预算表（17亩菠萝)'!H35+'13-1)生产成本预算表（50亩南瓜)'!H35+'13-1)生产成本预算表（咸水鸭)'!H35</f>
        <v>4850</v>
      </c>
      <c r="I35" s="11">
        <f>'13-1)生产成本预算表（322亩南瓜）'!I35+'13-1)生产成本预算表（3亩地瓜）'!I35+'13-1)生产成本预算表（3亩圣女果)'!I35+'13-1)生产成本预算表（55亩大棚) '!I35+'13-1)生产成本预算表（25亩鱼塘)'!I35+'13-1)生产成本预算表（138亩椰子)'!I35+'13-1)生产成本预算表（17亩菠萝)'!I35+'13-1)生产成本预算表（50亩南瓜)'!I35+'13-1)生产成本预算表（咸水鸭)'!I35</f>
        <v>15050</v>
      </c>
      <c r="J35" s="11">
        <f>'13-1)生产成本预算表（322亩南瓜）'!J35+'13-1)生产成本预算表（3亩地瓜）'!J35+'13-1)生产成本预算表（3亩圣女果)'!J35+'13-1)生产成本预算表（55亩大棚) '!J35+'13-1)生产成本预算表（25亩鱼塘)'!J35+'13-1)生产成本预算表（138亩椰子)'!J35+'13-1)生产成本预算表（17亩菠萝)'!J35+'13-1)生产成本预算表（50亩南瓜)'!J35+'13-1)生产成本预算表（咸水鸭)'!J35</f>
        <v>23050</v>
      </c>
      <c r="K35" s="11">
        <f>'13-1)生产成本预算表（322亩南瓜）'!K35+'13-1)生产成本预算表（3亩地瓜）'!K35+'13-1)生产成本预算表（3亩圣女果)'!K35+'13-1)生产成本预算表（55亩大棚) '!K35+'13-1)生产成本预算表（25亩鱼塘)'!K35+'13-1)生产成本预算表（138亩椰子)'!K35+'13-1)生产成本预算表（17亩菠萝)'!K35+'13-1)生产成本预算表（50亩南瓜)'!K35+'13-1)生产成本预算表（咸水鸭)'!K35</f>
        <v>17050</v>
      </c>
      <c r="L35" s="41">
        <f t="shared" si="2"/>
        <v>10.715491207046508</v>
      </c>
      <c r="M35" s="5"/>
    </row>
    <row r="36" spans="1:13" ht="18" customHeight="1">
      <c r="A36" s="25" t="s">
        <v>663</v>
      </c>
      <c r="B36" s="11">
        <f>'13-1)生产成本预算表（322亩南瓜）'!B36+'13-1)生产成本预算表（3亩地瓜）'!B36+'13-1)生产成本预算表（3亩圣女果)'!B36+'13-1)生产成本预算表（55亩大棚) '!B36+'13-1)生产成本预算表（25亩鱼塘)'!B36+'13-1)生产成本预算表（138亩椰子)'!B36+'13-1)生产成本预算表（17亩菠萝)'!B36+'13-1)生产成本预算表（50亩南瓜)'!B36+'13-1)生产成本预算表（咸水鸭)'!B36</f>
        <v>0</v>
      </c>
      <c r="C36" s="11">
        <f>'13-1)生产成本预算表（322亩南瓜）'!C36+'13-1)生产成本预算表（3亩地瓜）'!C36+'13-1)生产成本预算表（3亩圣女果)'!C36+'13-1)生产成本预算表（55亩大棚) '!C36+'13-1)生产成本预算表（25亩鱼塘)'!C36+'13-1)生产成本预算表（138亩椰子)'!C36+'13-1)生产成本预算表（17亩菠萝)'!C36+'13-1)生产成本预算表（50亩南瓜)'!C36+'13-1)生产成本预算表（咸水鸭)'!C36</f>
        <v>0</v>
      </c>
      <c r="D36" s="11">
        <f>'13-1)生产成本预算表（322亩南瓜）'!D36+'13-1)生产成本预算表（3亩地瓜）'!D36+'13-1)生产成本预算表（3亩圣女果)'!D36+'13-1)生产成本预算表（55亩大棚) '!D36+'13-1)生产成本预算表（25亩鱼塘)'!D36+'13-1)生产成本预算表（138亩椰子)'!D36+'13-1)生产成本预算表（17亩菠萝)'!D36+'13-1)生产成本预算表（50亩南瓜)'!D36+'13-1)生产成本预算表（咸水鸭)'!D36</f>
        <v>0</v>
      </c>
      <c r="E36" s="11">
        <f t="shared" si="19"/>
        <v>0</v>
      </c>
      <c r="F36" s="40" t="e">
        <f t="shared" si="1"/>
        <v>#DIV/0!</v>
      </c>
      <c r="G36" s="11">
        <f t="shared" si="20"/>
        <v>2400</v>
      </c>
      <c r="H36" s="11">
        <f>'13-1)生产成本预算表（322亩南瓜）'!H36+'13-1)生产成本预算表（3亩地瓜）'!H36+'13-1)生产成本预算表（3亩圣女果)'!H36+'13-1)生产成本预算表（55亩大棚) '!H36+'13-1)生产成本预算表（25亩鱼塘)'!H36+'13-1)生产成本预算表（138亩椰子)'!H36+'13-1)生产成本预算表（17亩菠萝)'!H36+'13-1)生产成本预算表（50亩南瓜)'!H36+'13-1)生产成本预算表（咸水鸭)'!H36</f>
        <v>900</v>
      </c>
      <c r="I36" s="11">
        <f>'13-1)生产成本预算表（322亩南瓜）'!I36+'13-1)生产成本预算表（3亩地瓜）'!I36+'13-1)生产成本预算表（3亩圣女果)'!I36+'13-1)生产成本预算表（55亩大棚) '!I36+'13-1)生产成本预算表（25亩鱼塘)'!I36+'13-1)生产成本预算表（138亩椰子)'!I36+'13-1)生产成本预算表（17亩菠萝)'!I36+'13-1)生产成本预算表（50亩南瓜)'!I36+'13-1)生产成本预算表（咸水鸭)'!I36</f>
        <v>400</v>
      </c>
      <c r="J36" s="11">
        <f>'13-1)生产成本预算表（322亩南瓜）'!J36+'13-1)生产成本预算表（3亩地瓜）'!J36+'13-1)生产成本预算表（3亩圣女果)'!J36+'13-1)生产成本预算表（55亩大棚) '!J36+'13-1)生产成本预算表（25亩鱼塘)'!J36+'13-1)生产成本预算表（138亩椰子)'!J36+'13-1)生产成本预算表（17亩菠萝)'!J36+'13-1)生产成本预算表（50亩南瓜)'!J36+'13-1)生产成本预算表（咸水鸭)'!J36</f>
        <v>400</v>
      </c>
      <c r="K36" s="11">
        <f>'13-1)生产成本预算表（322亩南瓜）'!K36+'13-1)生产成本预算表（3亩地瓜）'!K36+'13-1)生产成本预算表（3亩圣女果)'!K36+'13-1)生产成本预算表（55亩大棚) '!K36+'13-1)生产成本预算表（25亩鱼塘)'!K36+'13-1)生产成本预算表（138亩椰子)'!K36+'13-1)生产成本预算表（17亩菠萝)'!K36+'13-1)生产成本预算表（50亩南瓜)'!K36+'13-1)生产成本预算表（咸水鸭)'!K36</f>
        <v>700</v>
      </c>
      <c r="L36" s="41" t="e">
        <f t="shared" si="2"/>
        <v>#DIV/0!</v>
      </c>
      <c r="M36" s="5"/>
    </row>
    <row r="37" spans="1:13" ht="18" customHeight="1">
      <c r="A37" s="25" t="s">
        <v>664</v>
      </c>
      <c r="B37" s="11">
        <f>'13-1)生产成本预算表（322亩南瓜）'!B37+'13-1)生产成本预算表（3亩地瓜）'!B37+'13-1)生产成本预算表（3亩圣女果)'!B37+'13-1)生产成本预算表（55亩大棚) '!B37+'13-1)生产成本预算表（25亩鱼塘)'!B37+'13-1)生产成本预算表（138亩椰子)'!B37+'13-1)生产成本预算表（17亩菠萝)'!B37+'13-1)生产成本预算表（50亩南瓜)'!B37+'13-1)生产成本预算表（咸水鸭)'!B37</f>
        <v>0</v>
      </c>
      <c r="C37" s="11">
        <f>'13-1)生产成本预算表（322亩南瓜）'!C37+'13-1)生产成本预算表（3亩地瓜）'!C37+'13-1)生产成本预算表（3亩圣女果)'!C37+'13-1)生产成本预算表（55亩大棚) '!C37+'13-1)生产成本预算表（25亩鱼塘)'!C37+'13-1)生产成本预算表（138亩椰子)'!C37+'13-1)生产成本预算表（17亩菠萝)'!C37+'13-1)生产成本预算表（50亩南瓜)'!C37+'13-1)生产成本预算表（咸水鸭)'!C37</f>
        <v>0</v>
      </c>
      <c r="D37" s="11">
        <f>'13-1)生产成本预算表（322亩南瓜）'!D37+'13-1)生产成本预算表（3亩地瓜）'!D37+'13-1)生产成本预算表（3亩圣女果)'!D37+'13-1)生产成本预算表（55亩大棚) '!D37+'13-1)生产成本预算表（25亩鱼塘)'!D37+'13-1)生产成本预算表（138亩椰子)'!D37+'13-1)生产成本预算表（17亩菠萝)'!D37+'13-1)生产成本预算表（50亩南瓜)'!D37+'13-1)生产成本预算表（咸水鸭)'!D37</f>
        <v>3543.52</v>
      </c>
      <c r="E37" s="11">
        <f t="shared" si="19"/>
        <v>3543.52</v>
      </c>
      <c r="F37" s="40" t="e">
        <f t="shared" si="1"/>
        <v>#DIV/0!</v>
      </c>
      <c r="G37" s="11">
        <f t="shared" si="20"/>
        <v>0</v>
      </c>
      <c r="H37" s="11">
        <f>'13-1)生产成本预算表（322亩南瓜）'!H37+'13-1)生产成本预算表（3亩地瓜）'!H37+'13-1)生产成本预算表（3亩圣女果)'!H37+'13-1)生产成本预算表（55亩大棚) '!H37+'13-1)生产成本预算表（25亩鱼塘)'!H37+'13-1)生产成本预算表（138亩椰子)'!H37+'13-1)生产成本预算表（17亩菠萝)'!H37+'13-1)生产成本预算表（50亩南瓜)'!H37+'13-1)生产成本预算表（咸水鸭)'!H37</f>
        <v>0</v>
      </c>
      <c r="I37" s="11">
        <f>'13-1)生产成本预算表（322亩南瓜）'!I37+'13-1)生产成本预算表（3亩地瓜）'!I37+'13-1)生产成本预算表（3亩圣女果)'!I37+'13-1)生产成本预算表（55亩大棚) '!I37+'13-1)生产成本预算表（25亩鱼塘)'!I37+'13-1)生产成本预算表（138亩椰子)'!I37+'13-1)生产成本预算表（17亩菠萝)'!I37+'13-1)生产成本预算表（50亩南瓜)'!I37+'13-1)生产成本预算表（咸水鸭)'!I37</f>
        <v>0</v>
      </c>
      <c r="J37" s="11">
        <f>'13-1)生产成本预算表（322亩南瓜）'!J37+'13-1)生产成本预算表（3亩地瓜）'!J37+'13-1)生产成本预算表（3亩圣女果)'!J37+'13-1)生产成本预算表（55亩大棚) '!J37+'13-1)生产成本预算表（25亩鱼塘)'!J37+'13-1)生产成本预算表（138亩椰子)'!J37+'13-1)生产成本预算表（17亩菠萝)'!J37+'13-1)生产成本预算表（50亩南瓜)'!J37+'13-1)生产成本预算表（咸水鸭)'!J37</f>
        <v>0</v>
      </c>
      <c r="K37" s="11">
        <f>'13-1)生产成本预算表（322亩南瓜）'!K37+'13-1)生产成本预算表（3亩地瓜）'!K37+'13-1)生产成本预算表（3亩圣女果)'!K37+'13-1)生产成本预算表（55亩大棚) '!K37+'13-1)生产成本预算表（25亩鱼塘)'!K37+'13-1)生产成本预算表（138亩椰子)'!K37+'13-1)生产成本预算表（17亩菠萝)'!K37+'13-1)生产成本预算表（50亩南瓜)'!K37+'13-1)生产成本预算表（咸水鸭)'!K37</f>
        <v>0</v>
      </c>
      <c r="L37" s="41">
        <f t="shared" si="2"/>
        <v>0</v>
      </c>
      <c r="M37" s="5"/>
    </row>
    <row r="38" spans="1:13" ht="18" customHeight="1">
      <c r="A38" s="25" t="s">
        <v>665</v>
      </c>
      <c r="B38" s="11">
        <f>'13-1)生产成本预算表（322亩南瓜）'!B38+'13-1)生产成本预算表（3亩地瓜）'!B38+'13-1)生产成本预算表（3亩圣女果)'!B38+'13-1)生产成本预算表（55亩大棚) '!B38+'13-1)生产成本预算表（25亩鱼塘)'!B38+'13-1)生产成本预算表（138亩椰子)'!B38+'13-1)生产成本预算表（17亩菠萝)'!B38+'13-1)生产成本预算表（50亩南瓜)'!B38+'13-1)生产成本预算表（咸水鸭)'!B38</f>
        <v>0</v>
      </c>
      <c r="C38" s="11">
        <f>'13-1)生产成本预算表（322亩南瓜）'!C38+'13-1)生产成本预算表（3亩地瓜）'!C38+'13-1)生产成本预算表（3亩圣女果)'!C38+'13-1)生产成本预算表（55亩大棚) '!C38+'13-1)生产成本预算表（25亩鱼塘)'!C38+'13-1)生产成本预算表（138亩椰子)'!C38+'13-1)生产成本预算表（17亩菠萝)'!C38+'13-1)生产成本预算表（50亩南瓜)'!C38+'13-1)生产成本预算表（咸水鸭)'!C38</f>
        <v>0</v>
      </c>
      <c r="D38" s="11">
        <f>'13-1)生产成本预算表（322亩南瓜）'!D38+'13-1)生产成本预算表（3亩地瓜）'!D38+'13-1)生产成本预算表（3亩圣女果)'!D38+'13-1)生产成本预算表（55亩大棚) '!D38+'13-1)生产成本预算表（25亩鱼塘)'!D38+'13-1)生产成本预算表（138亩椰子)'!D38+'13-1)生产成本预算表（17亩菠萝)'!D38+'13-1)生产成本预算表（50亩南瓜)'!D38+'13-1)生产成本预算表（咸水鸭)'!D38</f>
        <v>65.49</v>
      </c>
      <c r="E38" s="11">
        <f t="shared" si="19"/>
        <v>65.49</v>
      </c>
      <c r="F38" s="40" t="e">
        <f t="shared" si="1"/>
        <v>#DIV/0!</v>
      </c>
      <c r="G38" s="11">
        <f t="shared" si="20"/>
        <v>0</v>
      </c>
      <c r="H38" s="11">
        <f>'13-1)生产成本预算表（322亩南瓜）'!H38+'13-1)生产成本预算表（3亩地瓜）'!H38+'13-1)生产成本预算表（3亩圣女果)'!H38+'13-1)生产成本预算表（55亩大棚) '!H38+'13-1)生产成本预算表（25亩鱼塘)'!H38+'13-1)生产成本预算表（138亩椰子)'!H38+'13-1)生产成本预算表（17亩菠萝)'!H38+'13-1)生产成本预算表（50亩南瓜)'!H38+'13-1)生产成本预算表（咸水鸭)'!H38</f>
        <v>0</v>
      </c>
      <c r="I38" s="11">
        <f>'13-1)生产成本预算表（322亩南瓜）'!I38+'13-1)生产成本预算表（3亩地瓜）'!I38+'13-1)生产成本预算表（3亩圣女果)'!I38+'13-1)生产成本预算表（55亩大棚) '!I38+'13-1)生产成本预算表（25亩鱼塘)'!I38+'13-1)生产成本预算表（138亩椰子)'!I38+'13-1)生产成本预算表（17亩菠萝)'!I38+'13-1)生产成本预算表（50亩南瓜)'!I38+'13-1)生产成本预算表（咸水鸭)'!I38</f>
        <v>0</v>
      </c>
      <c r="J38" s="11">
        <f>'13-1)生产成本预算表（322亩南瓜）'!J38+'13-1)生产成本预算表（3亩地瓜）'!J38+'13-1)生产成本预算表（3亩圣女果)'!J38+'13-1)生产成本预算表（55亩大棚) '!J38+'13-1)生产成本预算表（25亩鱼塘)'!J38+'13-1)生产成本预算表（138亩椰子)'!J38+'13-1)生产成本预算表（17亩菠萝)'!J38+'13-1)生产成本预算表（50亩南瓜)'!J38+'13-1)生产成本预算表（咸水鸭)'!J38</f>
        <v>0</v>
      </c>
      <c r="K38" s="11">
        <f>'13-1)生产成本预算表（322亩南瓜）'!K38+'13-1)生产成本预算表（3亩地瓜）'!K38+'13-1)生产成本预算表（3亩圣女果)'!K38+'13-1)生产成本预算表（55亩大棚) '!K38+'13-1)生产成本预算表（25亩鱼塘)'!K38+'13-1)生产成本预算表（138亩椰子)'!K38+'13-1)生产成本预算表（17亩菠萝)'!K38+'13-1)生产成本预算表（50亩南瓜)'!K38+'13-1)生产成本预算表（咸水鸭)'!K38</f>
        <v>0</v>
      </c>
      <c r="L38" s="41">
        <f t="shared" si="2"/>
        <v>0</v>
      </c>
      <c r="M38" s="5"/>
    </row>
    <row r="39" spans="1:13" ht="18" customHeight="1">
      <c r="A39" s="25" t="s">
        <v>666</v>
      </c>
      <c r="B39" s="11">
        <f>'13-1)生产成本预算表（322亩南瓜）'!B39+'13-1)生产成本预算表（3亩地瓜）'!B39+'13-1)生产成本预算表（3亩圣女果)'!B39+'13-1)生产成本预算表（55亩大棚) '!B39+'13-1)生产成本预算表（25亩鱼塘)'!B39+'13-1)生产成本预算表（138亩椰子)'!B39+'13-1)生产成本预算表（17亩菠萝)'!B39+'13-1)生产成本预算表（50亩南瓜)'!B39+'13-1)生产成本预算表（咸水鸭)'!B39</f>
        <v>0</v>
      </c>
      <c r="C39" s="11">
        <f>'13-1)生产成本预算表（322亩南瓜）'!C39+'13-1)生产成本预算表（3亩地瓜）'!C39+'13-1)生产成本预算表（3亩圣女果)'!C39+'13-1)生产成本预算表（55亩大棚) '!C39+'13-1)生产成本预算表（25亩鱼塘)'!C39+'13-1)生产成本预算表（138亩椰子)'!C39+'13-1)生产成本预算表（17亩菠萝)'!C39+'13-1)生产成本预算表（50亩南瓜)'!C39+'13-1)生产成本预算表（咸水鸭)'!C39</f>
        <v>0</v>
      </c>
      <c r="D39" s="11">
        <f>'13-1)生产成本预算表（322亩南瓜）'!D39+'13-1)生产成本预算表（3亩地瓜）'!D39+'13-1)生产成本预算表（3亩圣女果)'!D39+'13-1)生产成本预算表（55亩大棚) '!D39+'13-1)生产成本预算表（25亩鱼塘)'!D39+'13-1)生产成本预算表（138亩椰子)'!D39+'13-1)生产成本预算表（17亩菠萝)'!D39+'13-1)生产成本预算表（50亩南瓜)'!D39+'13-1)生产成本预算表（咸水鸭)'!D39</f>
        <v>0</v>
      </c>
      <c r="E39" s="11">
        <f t="shared" si="19"/>
        <v>0</v>
      </c>
      <c r="F39" s="40" t="e">
        <f t="shared" si="1"/>
        <v>#DIV/0!</v>
      </c>
      <c r="G39" s="11">
        <f t="shared" si="20"/>
        <v>5000</v>
      </c>
      <c r="H39" s="11">
        <f>'13-1)生产成本预算表（322亩南瓜）'!H39+'13-1)生产成本预算表（3亩地瓜）'!H39+'13-1)生产成本预算表（3亩圣女果)'!H39+'13-1)生产成本预算表（55亩大棚) '!H39+'13-1)生产成本预算表（25亩鱼塘)'!H39+'13-1)生产成本预算表（138亩椰子)'!H39+'13-1)生产成本预算表（17亩菠萝)'!H39+'13-1)生产成本预算表（50亩南瓜)'!H39+'13-1)生产成本预算表（咸水鸭)'!H39</f>
        <v>2500</v>
      </c>
      <c r="I39" s="11">
        <f>'13-1)生产成本预算表（322亩南瓜）'!I39+'13-1)生产成本预算表（3亩地瓜）'!I39+'13-1)生产成本预算表（3亩圣女果)'!I39+'13-1)生产成本预算表（55亩大棚) '!I39+'13-1)生产成本预算表（25亩鱼塘)'!I39+'13-1)生产成本预算表（138亩椰子)'!I39+'13-1)生产成本预算表（17亩菠萝)'!I39+'13-1)生产成本预算表（50亩南瓜)'!I39+'13-1)生产成本预算表（咸水鸭)'!I39</f>
        <v>500</v>
      </c>
      <c r="J39" s="11">
        <f>'13-1)生产成本预算表（322亩南瓜）'!J39+'13-1)生产成本预算表（3亩地瓜）'!J39+'13-1)生产成本预算表（3亩圣女果)'!J39+'13-1)生产成本预算表（55亩大棚) '!J39+'13-1)生产成本预算表（25亩鱼塘)'!J39+'13-1)生产成本预算表（138亩椰子)'!J39+'13-1)生产成本预算表（17亩菠萝)'!J39+'13-1)生产成本预算表（50亩南瓜)'!J39+'13-1)生产成本预算表（咸水鸭)'!J39</f>
        <v>500</v>
      </c>
      <c r="K39" s="11">
        <f>'13-1)生产成本预算表（322亩南瓜）'!K39+'13-1)生产成本预算表（3亩地瓜）'!K39+'13-1)生产成本预算表（3亩圣女果)'!K39+'13-1)生产成本预算表（55亩大棚) '!K39+'13-1)生产成本预算表（25亩鱼塘)'!K39+'13-1)生产成本预算表（138亩椰子)'!K39+'13-1)生产成本预算表（17亩菠萝)'!K39+'13-1)生产成本预算表（50亩南瓜)'!K39+'13-1)生产成本预算表（咸水鸭)'!K39</f>
        <v>1500</v>
      </c>
      <c r="L39" s="41" t="e">
        <f t="shared" si="2"/>
        <v>#DIV/0!</v>
      </c>
      <c r="M39" s="5"/>
    </row>
    <row r="40" spans="1:13" ht="18" customHeight="1">
      <c r="A40" s="25" t="s">
        <v>667</v>
      </c>
      <c r="B40" s="11">
        <f>'13-1)生产成本预算表（322亩南瓜）'!B40+'13-1)生产成本预算表（3亩地瓜）'!B40+'13-1)生产成本预算表（3亩圣女果)'!B40+'13-1)生产成本预算表（55亩大棚) '!B40+'13-1)生产成本预算表（25亩鱼塘)'!B40+'13-1)生产成本预算表（138亩椰子)'!B40+'13-1)生产成本预算表（17亩菠萝)'!B40+'13-1)生产成本预算表（50亩南瓜)'!B40+'13-1)生产成本预算表（咸水鸭)'!B40</f>
        <v>0</v>
      </c>
      <c r="C40" s="11">
        <f>'13-1)生产成本预算表（322亩南瓜）'!C40+'13-1)生产成本预算表（3亩地瓜）'!C40+'13-1)生产成本预算表（3亩圣女果)'!C40+'13-1)生产成本预算表（55亩大棚) '!C40+'13-1)生产成本预算表（25亩鱼塘)'!C40+'13-1)生产成本预算表（138亩椰子)'!C40+'13-1)生产成本预算表（17亩菠萝)'!C40+'13-1)生产成本预算表（50亩南瓜)'!C40+'13-1)生产成本预算表（咸水鸭)'!C40</f>
        <v>0</v>
      </c>
      <c r="D40" s="11">
        <f>'13-1)生产成本预算表（322亩南瓜）'!D40+'13-1)生产成本预算表（3亩地瓜）'!D40+'13-1)生产成本预算表（3亩圣女果)'!D40+'13-1)生产成本预算表（55亩大棚) '!D40+'13-1)生产成本预算表（25亩鱼塘)'!D40+'13-1)生产成本预算表（138亩椰子)'!D40+'13-1)生产成本预算表（17亩菠萝)'!D40+'13-1)生产成本预算表（50亩南瓜)'!D40+'13-1)生产成本预算表（咸水鸭)'!D40</f>
        <v>0</v>
      </c>
      <c r="E40" s="11">
        <f t="shared" si="19"/>
        <v>0</v>
      </c>
      <c r="F40" s="40" t="e">
        <f t="shared" si="1"/>
        <v>#DIV/0!</v>
      </c>
      <c r="G40" s="11">
        <f t="shared" si="20"/>
        <v>0</v>
      </c>
      <c r="H40" s="11">
        <f>'13-1)生产成本预算表（322亩南瓜）'!H40+'13-1)生产成本预算表（3亩地瓜）'!H40+'13-1)生产成本预算表（3亩圣女果)'!H40+'13-1)生产成本预算表（55亩大棚) '!H40+'13-1)生产成本预算表（25亩鱼塘)'!H40+'13-1)生产成本预算表（138亩椰子)'!H40+'13-1)生产成本预算表（17亩菠萝)'!H40+'13-1)生产成本预算表（50亩南瓜)'!H40+'13-1)生产成本预算表（咸水鸭)'!H40</f>
        <v>0</v>
      </c>
      <c r="I40" s="11">
        <f>'13-1)生产成本预算表（322亩南瓜）'!I40+'13-1)生产成本预算表（3亩地瓜）'!I40+'13-1)生产成本预算表（3亩圣女果)'!I40+'13-1)生产成本预算表（55亩大棚) '!I40+'13-1)生产成本预算表（25亩鱼塘)'!I40+'13-1)生产成本预算表（138亩椰子)'!I40+'13-1)生产成本预算表（17亩菠萝)'!I40+'13-1)生产成本预算表（50亩南瓜)'!I40+'13-1)生产成本预算表（咸水鸭)'!I40</f>
        <v>0</v>
      </c>
      <c r="J40" s="11">
        <f>'13-1)生产成本预算表（322亩南瓜）'!J40+'13-1)生产成本预算表（3亩地瓜）'!J40+'13-1)生产成本预算表（3亩圣女果)'!J40+'13-1)生产成本预算表（55亩大棚) '!J40+'13-1)生产成本预算表（25亩鱼塘)'!J40+'13-1)生产成本预算表（138亩椰子)'!J40+'13-1)生产成本预算表（17亩菠萝)'!J40+'13-1)生产成本预算表（50亩南瓜)'!J40+'13-1)生产成本预算表（咸水鸭)'!J40</f>
        <v>0</v>
      </c>
      <c r="K40" s="11">
        <f>'13-1)生产成本预算表（322亩南瓜）'!K40+'13-1)生产成本预算表（3亩地瓜）'!K40+'13-1)生产成本预算表（3亩圣女果)'!K40+'13-1)生产成本预算表（55亩大棚) '!K40+'13-1)生产成本预算表（25亩鱼塘)'!K40+'13-1)生产成本预算表（138亩椰子)'!K40+'13-1)生产成本预算表（17亩菠萝)'!K40+'13-1)生产成本预算表（50亩南瓜)'!K40+'13-1)生产成本预算表（咸水鸭)'!K40</f>
        <v>0</v>
      </c>
      <c r="L40" s="41" t="e">
        <f t="shared" si="2"/>
        <v>#DIV/0!</v>
      </c>
      <c r="M40" s="5"/>
    </row>
    <row r="41" spans="1:13" ht="18" customHeight="1">
      <c r="A41" s="25" t="s">
        <v>668</v>
      </c>
      <c r="B41" s="11">
        <f>'13-1)生产成本预算表（322亩南瓜）'!B41+'13-1)生产成本预算表（3亩地瓜）'!B41+'13-1)生产成本预算表（3亩圣女果)'!B41+'13-1)生产成本预算表（55亩大棚) '!B41+'13-1)生产成本预算表（25亩鱼塘)'!B41+'13-1)生产成本预算表（138亩椰子)'!B41+'13-1)生产成本预算表（17亩菠萝)'!B41+'13-1)生产成本预算表（50亩南瓜)'!B41+'13-1)生产成本预算表（咸水鸭)'!B41</f>
        <v>0</v>
      </c>
      <c r="C41" s="11">
        <f>'13-1)生产成本预算表（322亩南瓜）'!C41+'13-1)生产成本预算表（3亩地瓜）'!C41+'13-1)生产成本预算表（3亩圣女果)'!C41+'13-1)生产成本预算表（55亩大棚) '!C41+'13-1)生产成本预算表（25亩鱼塘)'!C41+'13-1)生产成本预算表（138亩椰子)'!C41+'13-1)生产成本预算表（17亩菠萝)'!C41+'13-1)生产成本预算表（50亩南瓜)'!C41+'13-1)生产成本预算表（咸水鸭)'!C41</f>
        <v>17540</v>
      </c>
      <c r="D41" s="11">
        <f>'13-1)生产成本预算表（322亩南瓜）'!D41+'13-1)生产成本预算表（3亩地瓜）'!D41+'13-1)生产成本预算表（3亩圣女果)'!D41+'13-1)生产成本预算表（55亩大棚) '!D41+'13-1)生产成本预算表（25亩鱼塘)'!D41+'13-1)生产成本预算表（138亩椰子)'!D41+'13-1)生产成本预算表（17亩菠萝)'!D41+'13-1)生产成本预算表（50亩南瓜)'!D41+'13-1)生产成本预算表（咸水鸭)'!D41</f>
        <v>0</v>
      </c>
      <c r="E41" s="11">
        <f t="shared" si="19"/>
        <v>17540</v>
      </c>
      <c r="F41" s="40" t="e">
        <f t="shared" si="1"/>
        <v>#DIV/0!</v>
      </c>
      <c r="G41" s="11">
        <f t="shared" si="20"/>
        <v>0</v>
      </c>
      <c r="H41" s="11">
        <f>'13-1)生产成本预算表（322亩南瓜）'!H41+'13-1)生产成本预算表（3亩地瓜）'!H41+'13-1)生产成本预算表（3亩圣女果)'!H41+'13-1)生产成本预算表（55亩大棚) '!H41+'13-1)生产成本预算表（25亩鱼塘)'!H41+'13-1)生产成本预算表（138亩椰子)'!H41+'13-1)生产成本预算表（17亩菠萝)'!H41+'13-1)生产成本预算表（50亩南瓜)'!H41+'13-1)生产成本预算表（咸水鸭)'!H41</f>
        <v>0</v>
      </c>
      <c r="I41" s="11">
        <f>'13-1)生产成本预算表（322亩南瓜）'!I41+'13-1)生产成本预算表（3亩地瓜）'!I41+'13-1)生产成本预算表（3亩圣女果)'!I41+'13-1)生产成本预算表（55亩大棚) '!I41+'13-1)生产成本预算表（25亩鱼塘)'!I41+'13-1)生产成本预算表（138亩椰子)'!I41+'13-1)生产成本预算表（17亩菠萝)'!I41+'13-1)生产成本预算表（50亩南瓜)'!I41+'13-1)生产成本预算表（咸水鸭)'!I41</f>
        <v>0</v>
      </c>
      <c r="J41" s="11">
        <f>'13-1)生产成本预算表（322亩南瓜）'!J41+'13-1)生产成本预算表（3亩地瓜）'!J41+'13-1)生产成本预算表（3亩圣女果)'!J41+'13-1)生产成本预算表（55亩大棚) '!J41+'13-1)生产成本预算表（25亩鱼塘)'!J41+'13-1)生产成本预算表（138亩椰子)'!J41+'13-1)生产成本预算表（17亩菠萝)'!J41+'13-1)生产成本预算表（50亩南瓜)'!J41+'13-1)生产成本预算表（咸水鸭)'!J41</f>
        <v>0</v>
      </c>
      <c r="K41" s="11">
        <f>'13-1)生产成本预算表（322亩南瓜）'!K41+'13-1)生产成本预算表（3亩地瓜）'!K41+'13-1)生产成本预算表（3亩圣女果)'!K41+'13-1)生产成本预算表（55亩大棚) '!K41+'13-1)生产成本预算表（25亩鱼塘)'!K41+'13-1)生产成本预算表（138亩椰子)'!K41+'13-1)生产成本预算表（17亩菠萝)'!K41+'13-1)生产成本预算表（50亩南瓜)'!K41+'13-1)生产成本预算表（咸水鸭)'!K41</f>
        <v>0</v>
      </c>
      <c r="L41" s="41">
        <f t="shared" si="2"/>
        <v>0</v>
      </c>
      <c r="M41" s="5"/>
    </row>
    <row r="42" spans="1:13" ht="18" customHeight="1">
      <c r="A42" s="25" t="s">
        <v>669</v>
      </c>
      <c r="B42" s="11">
        <f>'13-1)生产成本预算表（322亩南瓜）'!B42+'13-1)生产成本预算表（3亩地瓜）'!B42+'13-1)生产成本预算表（3亩圣女果)'!B42+'13-1)生产成本预算表（55亩大棚) '!B42+'13-1)生产成本预算表（25亩鱼塘)'!B42+'13-1)生产成本预算表（138亩椰子)'!B42+'13-1)生产成本预算表（17亩菠萝)'!B42+'13-1)生产成本预算表（50亩南瓜)'!B42+'13-1)生产成本预算表（咸水鸭)'!B42</f>
        <v>0</v>
      </c>
      <c r="C42" s="11">
        <f>'13-1)生产成本预算表（322亩南瓜）'!C42+'13-1)生产成本预算表（3亩地瓜）'!C42+'13-1)生产成本预算表（3亩圣女果)'!C42+'13-1)生产成本预算表（55亩大棚) '!C42+'13-1)生产成本预算表（25亩鱼塘)'!C42+'13-1)生产成本预算表（138亩椰子)'!C42+'13-1)生产成本预算表（17亩菠萝)'!C42+'13-1)生产成本预算表（50亩南瓜)'!C42+'13-1)生产成本预算表（咸水鸭)'!C42</f>
        <v>31528.01</v>
      </c>
      <c r="D42" s="11">
        <f>'13-1)生产成本预算表（322亩南瓜）'!D42+'13-1)生产成本预算表（3亩地瓜）'!D42+'13-1)生产成本预算表（3亩圣女果)'!D42+'13-1)生产成本预算表（55亩大棚) '!D42+'13-1)生产成本预算表（25亩鱼塘)'!D42+'13-1)生产成本预算表（138亩椰子)'!D42+'13-1)生产成本预算表（17亩菠萝)'!D42+'13-1)生产成本预算表（50亩南瓜)'!D42+'13-1)生产成本预算表（咸水鸭)'!D42</f>
        <v>0</v>
      </c>
      <c r="E42" s="11">
        <f t="shared" si="19"/>
        <v>31528.01</v>
      </c>
      <c r="F42" s="40" t="e">
        <f t="shared" si="1"/>
        <v>#DIV/0!</v>
      </c>
      <c r="G42" s="11">
        <f t="shared" si="20"/>
        <v>99655.6</v>
      </c>
      <c r="H42" s="11">
        <f>'13-1)生产成本预算表（322亩南瓜）'!H42+'13-1)生产成本预算表（3亩地瓜）'!H42+'13-1)生产成本预算表（3亩圣女果)'!H42+'13-1)生产成本预算表（55亩大棚) '!H42+'13-1)生产成本预算表（25亩鱼塘)'!H42+'13-1)生产成本预算表（138亩椰子)'!H42+'13-1)生产成本预算表（17亩菠萝)'!H42+'13-1)生产成本预算表（50亩南瓜)'!H42+'13-1)生产成本预算表（咸水鸭)'!H42</f>
        <v>0</v>
      </c>
      <c r="I42" s="11">
        <f>'13-1)生产成本预算表（322亩南瓜）'!I42+'13-1)生产成本预算表（3亩地瓜）'!I42+'13-1)生产成本预算表（3亩圣女果)'!I42+'13-1)生产成本预算表（55亩大棚) '!I42+'13-1)生产成本预算表（25亩鱼塘)'!I42+'13-1)生产成本预算表（138亩椰子)'!I42+'13-1)生产成本预算表（17亩菠萝)'!I42+'13-1)生产成本预算表（50亩南瓜)'!I42+'13-1)生产成本预算表（咸水鸭)'!I42</f>
        <v>4840</v>
      </c>
      <c r="J42" s="11">
        <f>'13-1)生产成本预算表（322亩南瓜）'!J42+'13-1)生产成本预算表（3亩地瓜）'!J42+'13-1)生产成本预算表（3亩圣女果)'!J42+'13-1)生产成本预算表（55亩大棚) '!J42+'13-1)生产成本预算表（25亩鱼塘)'!J42+'13-1)生产成本预算表（138亩椰子)'!J42+'13-1)生产成本预算表（17亩菠萝)'!J42+'13-1)生产成本预算表（50亩南瓜)'!J42+'13-1)生产成本预算表（咸水鸭)'!J42</f>
        <v>4840</v>
      </c>
      <c r="K42" s="11">
        <f>'13-1)生产成本预算表（322亩南瓜）'!K42+'13-1)生产成本预算表（3亩地瓜）'!K42+'13-1)生产成本预算表（3亩圣女果)'!K42+'13-1)生产成本预算表（55亩大棚) '!K42+'13-1)生产成本预算表（25亩鱼塘)'!K42+'13-1)生产成本预算表（138亩椰子)'!K42+'13-1)生产成本预算表（17亩菠萝)'!K42+'13-1)生产成本预算表（50亩南瓜)'!K42+'13-1)生产成本预算表（咸水鸭)'!K42</f>
        <v>89975.6</v>
      </c>
      <c r="L42" s="41">
        <f t="shared" si="2"/>
        <v>3.1608591852134027</v>
      </c>
      <c r="M42" s="5"/>
    </row>
    <row r="43" spans="1:13" ht="18" customHeight="1">
      <c r="A43" s="25" t="s">
        <v>670</v>
      </c>
      <c r="B43" s="11">
        <f aca="true" t="shared" si="21" ref="B43:K43">SUM(B44:B46)</f>
        <v>0</v>
      </c>
      <c r="C43" s="11">
        <f t="shared" si="21"/>
        <v>18605.67</v>
      </c>
      <c r="D43" s="26">
        <f t="shared" si="21"/>
        <v>2146.2</v>
      </c>
      <c r="E43" s="11">
        <f t="shared" si="21"/>
        <v>20751.869999999995</v>
      </c>
      <c r="F43" s="40" t="e">
        <f t="shared" si="1"/>
        <v>#DIV/0!</v>
      </c>
      <c r="G43" s="11">
        <f t="shared" si="21"/>
        <v>131256.4</v>
      </c>
      <c r="H43" s="26">
        <f t="shared" si="21"/>
        <v>51226.6</v>
      </c>
      <c r="I43" s="26">
        <f t="shared" si="21"/>
        <v>10276.6</v>
      </c>
      <c r="J43" s="26">
        <f t="shared" si="21"/>
        <v>10276.6</v>
      </c>
      <c r="K43" s="26">
        <f t="shared" si="21"/>
        <v>59476.6</v>
      </c>
      <c r="L43" s="41">
        <f t="shared" si="2"/>
        <v>6.325039622935187</v>
      </c>
      <c r="M43" s="5"/>
    </row>
    <row r="44" spans="1:13" ht="18" customHeight="1">
      <c r="A44" s="25" t="s">
        <v>671</v>
      </c>
      <c r="B44" s="11">
        <f>'13-1)生产成本预算表（322亩南瓜）'!B44+'13-1)生产成本预算表（3亩地瓜）'!B44+'13-1)生产成本预算表（3亩圣女果)'!B44+'13-1)生产成本预算表（55亩大棚) '!B44+'13-1)生产成本预算表（25亩鱼塘)'!B44+'13-1)生产成本预算表（138亩椰子)'!B44+'13-1)生产成本预算表（17亩菠萝)'!B44+'13-1)生产成本预算表（50亩南瓜)'!B44+'13-1)生产成本预算表（咸水鸭)'!B44</f>
        <v>0</v>
      </c>
      <c r="C44" s="11">
        <f>'13-1)生产成本预算表（322亩南瓜）'!C44+'13-1)生产成本预算表（3亩地瓜）'!C44+'13-1)生产成本预算表（3亩圣女果)'!C44+'13-1)生产成本预算表（55亩大棚) '!C44+'13-1)生产成本预算表（25亩鱼塘)'!C44+'13-1)生产成本预算表（138亩椰子)'!C44+'13-1)生产成本预算表（17亩菠萝)'!C44+'13-1)生产成本预算表（50亩南瓜)'!C44+'13-1)生产成本预算表（咸水鸭)'!C44</f>
        <v>18605.67</v>
      </c>
      <c r="D44" s="11">
        <f>'13-1)生产成本预算表（322亩南瓜）'!D44+'13-1)生产成本预算表（3亩地瓜）'!D44+'13-1)生产成本预算表（3亩圣女果)'!D44+'13-1)生产成本预算表（55亩大棚) '!D44+'13-1)生产成本预算表（25亩鱼塘)'!D44+'13-1)生产成本预算表（138亩椰子)'!D44+'13-1)生产成本预算表（17亩菠萝)'!D44+'13-1)生产成本预算表（50亩南瓜)'!D44+'13-1)生产成本预算表（咸水鸭)'!D44</f>
        <v>1704.85</v>
      </c>
      <c r="E44" s="11">
        <f aca="true" t="shared" si="22" ref="E44:E47">C44+D44</f>
        <v>20310.519999999997</v>
      </c>
      <c r="F44" s="40" t="e">
        <f t="shared" si="1"/>
        <v>#DIV/0!</v>
      </c>
      <c r="G44" s="11">
        <f aca="true" t="shared" si="23" ref="G44:G47">SUM(H44:K44)</f>
        <v>6819.4</v>
      </c>
      <c r="H44" s="11">
        <f>'13-1)生产成本预算表（322亩南瓜）'!H44+'13-1)生产成本预算表（3亩地瓜）'!H44+'13-1)生产成本预算表（3亩圣女果)'!H44+'13-1)生产成本预算表（55亩大棚) '!H44+'13-1)生产成本预算表（25亩鱼塘)'!H44+'13-1)生产成本预算表（138亩椰子)'!H44+'13-1)生产成本预算表（17亩菠萝)'!H44+'13-1)生产成本预算表（50亩南瓜)'!H44+'13-1)生产成本预算表（咸水鸭)'!H44</f>
        <v>1704.85</v>
      </c>
      <c r="I44" s="11">
        <f>'13-1)生产成本预算表（322亩南瓜）'!I44+'13-1)生产成本预算表（3亩地瓜）'!I44+'13-1)生产成本预算表（3亩圣女果)'!I44+'13-1)生产成本预算表（55亩大棚) '!I44+'13-1)生产成本预算表（25亩鱼塘)'!I44+'13-1)生产成本预算表（138亩椰子)'!I44+'13-1)生产成本预算表（17亩菠萝)'!I44+'13-1)生产成本预算表（50亩南瓜)'!I44+'13-1)生产成本预算表（咸水鸭)'!I44</f>
        <v>1704.85</v>
      </c>
      <c r="J44" s="11">
        <f>'13-1)生产成本预算表（322亩南瓜）'!J44+'13-1)生产成本预算表（3亩地瓜）'!J44+'13-1)生产成本预算表（3亩圣女果)'!J44+'13-1)生产成本预算表（55亩大棚) '!J44+'13-1)生产成本预算表（25亩鱼塘)'!J44+'13-1)生产成本预算表（138亩椰子)'!J44+'13-1)生产成本预算表（17亩菠萝)'!J44+'13-1)生产成本预算表（50亩南瓜)'!J44+'13-1)生产成本预算表（咸水鸭)'!J44</f>
        <v>1704.85</v>
      </c>
      <c r="K44" s="11">
        <f>'13-1)生产成本预算表（322亩南瓜）'!K44+'13-1)生产成本预算表（3亩地瓜）'!K44+'13-1)生产成本预算表（3亩圣女果)'!K44+'13-1)生产成本预算表（55亩大棚) '!K44+'13-1)生产成本预算表（25亩鱼塘)'!K44+'13-1)生产成本预算表（138亩椰子)'!K44+'13-1)生产成本预算表（17亩菠萝)'!K44+'13-1)生产成本预算表（50亩南瓜)'!K44+'13-1)生产成本预算表（咸水鸭)'!K44</f>
        <v>1704.85</v>
      </c>
      <c r="L44" s="41">
        <f t="shared" si="2"/>
        <v>0.3357570362551033</v>
      </c>
      <c r="M44" s="5"/>
    </row>
    <row r="45" spans="1:13" ht="18" customHeight="1">
      <c r="A45" s="25" t="s">
        <v>672</v>
      </c>
      <c r="B45" s="11">
        <f>'13-1)生产成本预算表（322亩南瓜）'!B45+'13-1)生产成本预算表（3亩地瓜）'!B45+'13-1)生产成本预算表（3亩圣女果)'!B45+'13-1)生产成本预算表（55亩大棚) '!B45+'13-1)生产成本预算表（25亩鱼塘)'!B45+'13-1)生产成本预算表（138亩椰子)'!B45+'13-1)生产成本预算表（17亩菠萝)'!B45+'13-1)生产成本预算表（50亩南瓜)'!B45+'13-1)生产成本预算表（咸水鸭)'!B45</f>
        <v>0</v>
      </c>
      <c r="C45" s="11">
        <f>'13-1)生产成本预算表（322亩南瓜）'!C45+'13-1)生产成本预算表（3亩地瓜）'!C45+'13-1)生产成本预算表（3亩圣女果)'!C45+'13-1)生产成本预算表（55亩大棚) '!C45+'13-1)生产成本预算表（25亩鱼塘)'!C45+'13-1)生产成本预算表（138亩椰子)'!C45+'13-1)生产成本预算表（17亩菠萝)'!C45+'13-1)生产成本预算表（50亩南瓜)'!C45+'13-1)生产成本预算表（咸水鸭)'!C45</f>
        <v>0</v>
      </c>
      <c r="D45" s="11">
        <f>'13-1)生产成本预算表（322亩南瓜）'!D45+'13-1)生产成本预算表（3亩地瓜）'!D45+'13-1)生产成本预算表（3亩圣女果)'!D45+'13-1)生产成本预算表（55亩大棚) '!D45+'13-1)生产成本预算表（25亩鱼塘)'!D45+'13-1)生产成本预算表（138亩椰子)'!D45+'13-1)生产成本预算表（17亩菠萝)'!D45+'13-1)生产成本预算表（50亩南瓜)'!D45+'13-1)生产成本预算表（咸水鸭)'!D45</f>
        <v>119.6</v>
      </c>
      <c r="E45" s="11">
        <f t="shared" si="22"/>
        <v>119.6</v>
      </c>
      <c r="F45" s="40" t="e">
        <f t="shared" si="1"/>
        <v>#DIV/0!</v>
      </c>
      <c r="G45" s="11">
        <f t="shared" si="23"/>
        <v>0</v>
      </c>
      <c r="H45" s="11">
        <f>'13-1)生产成本预算表（322亩南瓜）'!H45+'13-1)生产成本预算表（3亩地瓜）'!H45+'13-1)生产成本预算表（3亩圣女果)'!H45+'13-1)生产成本预算表（55亩大棚) '!H45+'13-1)生产成本预算表（25亩鱼塘)'!H45+'13-1)生产成本预算表（138亩椰子)'!H45+'13-1)生产成本预算表（17亩菠萝)'!H45+'13-1)生产成本预算表（50亩南瓜)'!H45+'13-1)生产成本预算表（咸水鸭)'!H45</f>
        <v>0</v>
      </c>
      <c r="I45" s="11">
        <f>'13-1)生产成本预算表（322亩南瓜）'!I45+'13-1)生产成本预算表（3亩地瓜）'!I45+'13-1)生产成本预算表（3亩圣女果)'!I45+'13-1)生产成本预算表（55亩大棚) '!I45+'13-1)生产成本预算表（25亩鱼塘)'!I45+'13-1)生产成本预算表（138亩椰子)'!I45+'13-1)生产成本预算表（17亩菠萝)'!I45+'13-1)生产成本预算表（50亩南瓜)'!I45+'13-1)生产成本预算表（咸水鸭)'!I45</f>
        <v>0</v>
      </c>
      <c r="J45" s="11">
        <f>'13-1)生产成本预算表（322亩南瓜）'!J45+'13-1)生产成本预算表（3亩地瓜）'!J45+'13-1)生产成本预算表（3亩圣女果)'!J45+'13-1)生产成本预算表（55亩大棚) '!J45+'13-1)生产成本预算表（25亩鱼塘)'!J45+'13-1)生产成本预算表（138亩椰子)'!J45+'13-1)生产成本预算表（17亩菠萝)'!J45+'13-1)生产成本预算表（50亩南瓜)'!J45+'13-1)生产成本预算表（咸水鸭)'!J45</f>
        <v>0</v>
      </c>
      <c r="K45" s="11">
        <f>'13-1)生产成本预算表（322亩南瓜）'!K45+'13-1)生产成本预算表（3亩地瓜）'!K45+'13-1)生产成本预算表（3亩圣女果)'!K45+'13-1)生产成本预算表（55亩大棚) '!K45+'13-1)生产成本预算表（25亩鱼塘)'!K45+'13-1)生产成本预算表（138亩椰子)'!K45+'13-1)生产成本预算表（17亩菠萝)'!K45+'13-1)生产成本预算表（50亩南瓜)'!K45+'13-1)生产成本预算表（咸水鸭)'!K45</f>
        <v>0</v>
      </c>
      <c r="L45" s="41">
        <f t="shared" si="2"/>
        <v>0</v>
      </c>
      <c r="M45" s="5"/>
    </row>
    <row r="46" spans="1:13" ht="18" customHeight="1">
      <c r="A46" s="25" t="s">
        <v>673</v>
      </c>
      <c r="B46" s="11">
        <f>'13-1)生产成本预算表（322亩南瓜）'!B46+'13-1)生产成本预算表（3亩地瓜）'!B46+'13-1)生产成本预算表（3亩圣女果)'!B46+'13-1)生产成本预算表（55亩大棚) '!B46+'13-1)生产成本预算表（25亩鱼塘)'!B46+'13-1)生产成本预算表（138亩椰子)'!B46+'13-1)生产成本预算表（17亩菠萝)'!B46+'13-1)生产成本预算表（50亩南瓜)'!B46+'13-1)生产成本预算表（咸水鸭)'!B46</f>
        <v>0</v>
      </c>
      <c r="C46" s="11">
        <f>'13-1)生产成本预算表（322亩南瓜）'!C46+'13-1)生产成本预算表（3亩地瓜）'!C46+'13-1)生产成本预算表（3亩圣女果)'!C46+'13-1)生产成本预算表（55亩大棚) '!C46+'13-1)生产成本预算表（25亩鱼塘)'!C46+'13-1)生产成本预算表（138亩椰子)'!C46+'13-1)生产成本预算表（17亩菠萝)'!C46+'13-1)生产成本预算表（50亩南瓜)'!C46+'13-1)生产成本预算表（咸水鸭)'!C46</f>
        <v>0</v>
      </c>
      <c r="D46" s="11">
        <f>'13-1)生产成本预算表（322亩南瓜）'!D46+'13-1)生产成本预算表（3亩地瓜）'!D46+'13-1)生产成本预算表（3亩圣女果)'!D46+'13-1)生产成本预算表（55亩大棚) '!D46+'13-1)生产成本预算表（25亩鱼塘)'!D46+'13-1)生产成本预算表（138亩椰子)'!D46+'13-1)生产成本预算表（17亩菠萝)'!D46+'13-1)生产成本预算表（50亩南瓜)'!D46+'13-1)生产成本预算表（咸水鸭)'!D46</f>
        <v>321.75</v>
      </c>
      <c r="E46" s="11">
        <f t="shared" si="22"/>
        <v>321.75</v>
      </c>
      <c r="F46" s="40" t="e">
        <f t="shared" si="1"/>
        <v>#DIV/0!</v>
      </c>
      <c r="G46" s="11">
        <f t="shared" si="23"/>
        <v>124437</v>
      </c>
      <c r="H46" s="11">
        <f>'13-1)生产成本预算表（322亩南瓜）'!H46+'13-1)生产成本预算表（3亩地瓜）'!H46+'13-1)生产成本预算表（3亩圣女果)'!H46+'13-1)生产成本预算表（55亩大棚) '!H46+'13-1)生产成本预算表（25亩鱼塘)'!H46+'13-1)生产成本预算表（138亩椰子)'!H46+'13-1)生产成本预算表（17亩菠萝)'!H46+'13-1)生产成本预算表（50亩南瓜)'!H46+'13-1)生产成本预算表（咸水鸭)'!H46</f>
        <v>49521.75</v>
      </c>
      <c r="I46" s="11">
        <f>'13-1)生产成本预算表（322亩南瓜）'!I46+'13-1)生产成本预算表（3亩地瓜）'!I46+'13-1)生产成本预算表（3亩圣女果)'!I46+'13-1)生产成本预算表（55亩大棚) '!I46+'13-1)生产成本预算表（25亩鱼塘)'!I46+'13-1)生产成本预算表（138亩椰子)'!I46+'13-1)生产成本预算表（17亩菠萝)'!I46+'13-1)生产成本预算表（50亩南瓜)'!I46+'13-1)生产成本预算表（咸水鸭)'!I46</f>
        <v>8571.75</v>
      </c>
      <c r="J46" s="11">
        <f>'13-1)生产成本预算表（322亩南瓜）'!J46+'13-1)生产成本预算表（3亩地瓜）'!J46+'13-1)生产成本预算表（3亩圣女果)'!J46+'13-1)生产成本预算表（55亩大棚) '!J46+'13-1)生产成本预算表（25亩鱼塘)'!J46+'13-1)生产成本预算表（138亩椰子)'!J46+'13-1)生产成本预算表（17亩菠萝)'!J46+'13-1)生产成本预算表（50亩南瓜)'!J46+'13-1)生产成本预算表（咸水鸭)'!J46</f>
        <v>8571.75</v>
      </c>
      <c r="K46" s="11">
        <f>'13-1)生产成本预算表（322亩南瓜）'!K46+'13-1)生产成本预算表（3亩地瓜）'!K46+'13-1)生产成本预算表（3亩圣女果)'!K46+'13-1)生产成本预算表（55亩大棚) '!K46+'13-1)生产成本预算表（25亩鱼塘)'!K46+'13-1)生产成本预算表（138亩椰子)'!K46+'13-1)生产成本预算表（17亩菠萝)'!K46+'13-1)生产成本预算表（50亩南瓜)'!K46+'13-1)生产成本预算表（咸水鸭)'!K46</f>
        <v>57771.75</v>
      </c>
      <c r="L46" s="41">
        <f t="shared" si="2"/>
        <v>386.75058275058274</v>
      </c>
      <c r="M46" s="5"/>
    </row>
    <row r="47" spans="1:13" ht="18" customHeight="1">
      <c r="A47" s="109" t="s">
        <v>674</v>
      </c>
      <c r="B47" s="11">
        <f>'13-1)生产成本预算表（322亩南瓜）'!B47+'13-1)生产成本预算表（3亩地瓜）'!B47+'13-1)生产成本预算表（3亩圣女果)'!B47+'13-1)生产成本预算表（55亩大棚) '!B47+'13-1)生产成本预算表（25亩鱼塘)'!B47+'13-1)生产成本预算表（138亩椰子)'!B47+'13-1)生产成本预算表（17亩菠萝)'!B47+'13-1)生产成本预算表（50亩南瓜)'!B47+'13-1)生产成本预算表（咸水鸭)'!B47</f>
        <v>407793.49000000005</v>
      </c>
      <c r="C47" s="11">
        <f>'13-1)生产成本预算表（322亩南瓜）'!C47+'13-1)生产成本预算表（3亩地瓜）'!C47+'13-1)生产成本预算表（3亩圣女果)'!C47+'13-1)生产成本预算表（55亩大棚) '!C47+'13-1)生产成本预算表（25亩鱼塘)'!C47+'13-1)生产成本预算表（138亩椰子)'!C47+'13-1)生产成本预算表（17亩菠萝)'!C47+'13-1)生产成本预算表（50亩南瓜)'!C47+'13-1)生产成本预算表（咸水鸭)'!C47</f>
        <v>14729</v>
      </c>
      <c r="D47" s="11">
        <f>'13-1)生产成本预算表（322亩南瓜）'!D47+'13-1)生产成本预算表（3亩地瓜）'!D47+'13-1)生产成本预算表（3亩圣女果)'!D47+'13-1)生产成本预算表（55亩大棚) '!D47+'13-1)生产成本预算表（25亩鱼塘)'!D47+'13-1)生产成本预算表（138亩椰子)'!D47+'13-1)生产成本预算表（17亩菠萝)'!D47+'13-1)生产成本预算表（50亩南瓜)'!D47+'13-1)生产成本预算表（咸水鸭)'!D47</f>
        <v>5575.29</v>
      </c>
      <c r="E47" s="11">
        <f t="shared" si="22"/>
        <v>20304.29</v>
      </c>
      <c r="F47" s="40">
        <f t="shared" si="1"/>
        <v>0.049790618285740655</v>
      </c>
      <c r="G47" s="11">
        <f t="shared" si="23"/>
        <v>3069306.1282</v>
      </c>
      <c r="H47" s="11">
        <f>'13-1)生产成本预算表（322亩南瓜）'!H47+'13-1)生产成本预算表（3亩地瓜）'!H47+'13-1)生产成本预算表（3亩圣女果)'!H47+'13-1)生产成本预算表（55亩大棚) '!H47+'13-1)生产成本预算表（25亩鱼塘)'!H47+'13-1)生产成本预算表（138亩椰子)'!H47+'13-1)生产成本预算表（17亩菠萝)'!H47+'13-1)生产成本预算表（50亩南瓜)'!H47+'13-1)生产成本预算表（咸水鸭)'!H47</f>
        <v>364768.735</v>
      </c>
      <c r="I47" s="11">
        <f>'13-1)生产成本预算表（322亩南瓜）'!I47+'13-1)生产成本预算表（3亩地瓜）'!I47+'13-1)生产成本预算表（3亩圣女果)'!I47+'13-1)生产成本预算表（55亩大棚) '!I47+'13-1)生产成本预算表（25亩鱼塘)'!I47+'13-1)生产成本预算表（138亩椰子)'!I47+'13-1)生产成本预算表（17亩菠萝)'!I47+'13-1)生产成本预算表（50亩南瓜)'!I47+'13-1)生产成本预算表（咸水鸭)'!I47</f>
        <v>676230.24</v>
      </c>
      <c r="J47" s="11">
        <f>'13-1)生产成本预算表（322亩南瓜）'!J47+'13-1)生产成本预算表（3亩地瓜）'!J47+'13-1)生产成本预算表（3亩圣女果)'!J47+'13-1)生产成本预算表（55亩大棚) '!J47+'13-1)生产成本预算表（25亩鱼塘)'!J47+'13-1)生产成本预算表（138亩椰子)'!J47+'13-1)生产成本预算表（17亩菠萝)'!J47+'13-1)生产成本预算表（50亩南瓜)'!J47+'13-1)生产成本预算表（咸水鸭)'!J47</f>
        <v>511226.99295</v>
      </c>
      <c r="K47" s="11">
        <f>'13-1)生产成本预算表（322亩南瓜）'!K47+'13-1)生产成本预算表（3亩地瓜）'!K47+'13-1)生产成本预算表（3亩圣女果)'!K47+'13-1)生产成本预算表（55亩大棚) '!K47+'13-1)生产成本预算表（25亩鱼塘)'!K47+'13-1)生产成本预算表（138亩椰子)'!K47+'13-1)生产成本预算表（17亩菠萝)'!K47+'13-1)生产成本预算表（50亩南瓜)'!K47+'13-1)生产成本预算表（咸水鸭)'!K47</f>
        <v>1517080.16025</v>
      </c>
      <c r="L47" s="41">
        <f t="shared" si="2"/>
        <v>151.16540042523033</v>
      </c>
      <c r="M47" s="5"/>
    </row>
    <row r="48" spans="1:13" ht="12.75">
      <c r="A48" s="25" t="s">
        <v>628</v>
      </c>
      <c r="B48" s="11"/>
      <c r="C48" s="12"/>
      <c r="D48" s="12"/>
      <c r="E48" s="11"/>
      <c r="F48" s="40"/>
      <c r="G48" s="11"/>
      <c r="H48" s="12"/>
      <c r="I48" s="12"/>
      <c r="J48" s="12"/>
      <c r="K48" s="12"/>
      <c r="L48" s="41"/>
      <c r="M48" s="5"/>
    </row>
    <row r="49" spans="1:13" ht="12.75">
      <c r="A49" s="25"/>
      <c r="B49" s="11"/>
      <c r="C49" s="12"/>
      <c r="D49" s="12"/>
      <c r="E49" s="11"/>
      <c r="F49" s="40"/>
      <c r="G49" s="11"/>
      <c r="H49" s="12"/>
      <c r="I49" s="12"/>
      <c r="J49" s="12"/>
      <c r="K49" s="12"/>
      <c r="L49" s="41"/>
      <c r="M49" s="5"/>
    </row>
  </sheetData>
  <sheetProtection/>
  <mergeCells count="6">
    <mergeCell ref="A1:M1"/>
    <mergeCell ref="B3:F3"/>
    <mergeCell ref="G3:K3"/>
    <mergeCell ref="A3:A4"/>
    <mergeCell ref="L3:L4"/>
    <mergeCell ref="M3:M4"/>
  </mergeCells>
  <printOptions/>
  <pageMargins left="1.18" right="0.19" top="0.55" bottom="0.39" header="0.28" footer="0.16"/>
  <pageSetup fitToHeight="1" fitToWidth="1" horizontalDpi="300" verticalDpi="300" orientation="landscape" paperSize="9" scale="76"/>
</worksheet>
</file>

<file path=xl/worksheets/sheet15.xml><?xml version="1.0" encoding="utf-8"?>
<worksheet xmlns="http://schemas.openxmlformats.org/spreadsheetml/2006/main" xmlns:r="http://schemas.openxmlformats.org/officeDocument/2006/relationships">
  <sheetPr>
    <pageSetUpPr fitToPage="1"/>
  </sheetPr>
  <dimension ref="A1:M50"/>
  <sheetViews>
    <sheetView workbookViewId="0" topLeftCell="A1">
      <selection activeCell="A2" sqref="A2"/>
    </sheetView>
  </sheetViews>
  <sheetFormatPr defaultColWidth="9.140625" defaultRowHeight="12.75"/>
  <cols>
    <col min="1" max="1" width="30.28125" style="0" customWidth="1"/>
    <col min="2" max="2" width="13.140625" style="0" customWidth="1"/>
    <col min="3" max="3" width="10.7109375" style="0" customWidth="1"/>
    <col min="4" max="4" width="11.7109375" style="0" customWidth="1"/>
    <col min="5" max="6" width="10.7109375" style="0" customWidth="1"/>
    <col min="7" max="11" width="13.7109375" style="0" customWidth="1"/>
    <col min="12" max="13" width="10.7109375" style="0" customWidth="1"/>
  </cols>
  <sheetData>
    <row r="1" spans="1:13" ht="25.5" customHeight="1">
      <c r="A1" s="105" t="s">
        <v>675</v>
      </c>
      <c r="B1" s="23"/>
      <c r="C1" s="23" t="s">
        <v>598</v>
      </c>
      <c r="D1" s="23" t="s">
        <v>598</v>
      </c>
      <c r="E1" s="23" t="s">
        <v>598</v>
      </c>
      <c r="F1" s="23"/>
      <c r="G1" s="23" t="s">
        <v>598</v>
      </c>
      <c r="H1" s="23" t="s">
        <v>598</v>
      </c>
      <c r="I1" s="23" t="s">
        <v>598</v>
      </c>
      <c r="J1" s="23" t="s">
        <v>598</v>
      </c>
      <c r="K1" s="23" t="s">
        <v>598</v>
      </c>
      <c r="L1" s="23" t="s">
        <v>598</v>
      </c>
      <c r="M1" s="23" t="s">
        <v>598</v>
      </c>
    </row>
    <row r="2" spans="1:13" ht="18" customHeight="1">
      <c r="A2" s="106" t="s">
        <v>364</v>
      </c>
      <c r="B2" s="107"/>
      <c r="C2" s="45"/>
      <c r="D2" s="46"/>
      <c r="E2" s="47"/>
      <c r="F2" s="55"/>
      <c r="G2" s="24" t="s">
        <v>288</v>
      </c>
      <c r="H2" s="5"/>
      <c r="I2" s="5"/>
      <c r="J2" s="5"/>
      <c r="K2" s="5"/>
      <c r="L2" s="16" t="s">
        <v>599</v>
      </c>
      <c r="M2" s="5"/>
    </row>
    <row r="3" spans="1:13" ht="18" customHeight="1">
      <c r="A3" s="18" t="s">
        <v>290</v>
      </c>
      <c r="B3" s="90" t="s">
        <v>366</v>
      </c>
      <c r="C3" s="38"/>
      <c r="D3" s="38"/>
      <c r="E3" s="38"/>
      <c r="F3" s="39"/>
      <c r="G3" s="9" t="s">
        <v>292</v>
      </c>
      <c r="H3" s="9"/>
      <c r="I3" s="9" t="s">
        <v>292</v>
      </c>
      <c r="J3" s="9" t="s">
        <v>292</v>
      </c>
      <c r="K3" s="9" t="s">
        <v>292</v>
      </c>
      <c r="L3" s="9" t="s">
        <v>293</v>
      </c>
      <c r="M3" s="18" t="s">
        <v>33</v>
      </c>
    </row>
    <row r="4" spans="1:13" ht="18" customHeight="1">
      <c r="A4" s="18"/>
      <c r="B4" s="9" t="s">
        <v>294</v>
      </c>
      <c r="C4" s="9" t="s">
        <v>463</v>
      </c>
      <c r="D4" s="9" t="s">
        <v>296</v>
      </c>
      <c r="E4" s="9" t="s">
        <v>464</v>
      </c>
      <c r="F4" s="9" t="s">
        <v>299</v>
      </c>
      <c r="G4" s="9" t="s">
        <v>314</v>
      </c>
      <c r="H4" s="9" t="s">
        <v>324</v>
      </c>
      <c r="I4" s="9" t="s">
        <v>331</v>
      </c>
      <c r="J4" s="9" t="s">
        <v>334</v>
      </c>
      <c r="K4" s="9" t="s">
        <v>336</v>
      </c>
      <c r="L4" s="9" t="s">
        <v>293</v>
      </c>
      <c r="M4" s="18" t="s">
        <v>33</v>
      </c>
    </row>
    <row r="5" spans="1:13" ht="18" customHeight="1">
      <c r="A5" s="25" t="s">
        <v>632</v>
      </c>
      <c r="B5" s="11">
        <f aca="true" t="shared" si="0" ref="B5:K5">B6+B32+B43</f>
        <v>0</v>
      </c>
      <c r="C5" s="11">
        <f t="shared" si="0"/>
        <v>0</v>
      </c>
      <c r="D5" s="11">
        <f t="shared" si="0"/>
        <v>2280</v>
      </c>
      <c r="E5" s="11">
        <f t="shared" si="0"/>
        <v>2280</v>
      </c>
      <c r="F5" s="40" t="e">
        <f aca="true" t="shared" si="1" ref="F5:F47">E5/B5</f>
        <v>#DIV/0!</v>
      </c>
      <c r="G5" s="11">
        <f t="shared" si="0"/>
        <v>1189125.899</v>
      </c>
      <c r="H5" s="11">
        <f t="shared" si="0"/>
        <v>247730.855</v>
      </c>
      <c r="I5" s="11">
        <f t="shared" si="0"/>
        <v>0</v>
      </c>
      <c r="J5" s="11">
        <f t="shared" si="0"/>
        <v>0</v>
      </c>
      <c r="K5" s="11">
        <f t="shared" si="0"/>
        <v>941395.044</v>
      </c>
      <c r="L5" s="41">
        <f aca="true" t="shared" si="2" ref="L5:L47">G5/E5</f>
        <v>521.5464469298246</v>
      </c>
      <c r="M5" s="5"/>
    </row>
    <row r="6" spans="1:13" ht="18" customHeight="1">
      <c r="A6" s="25" t="s">
        <v>633</v>
      </c>
      <c r="B6" s="11">
        <f aca="true" t="shared" si="3" ref="B6:K6">B7+B26+B27</f>
        <v>0</v>
      </c>
      <c r="C6" s="11">
        <f t="shared" si="3"/>
        <v>0</v>
      </c>
      <c r="D6" s="11">
        <f t="shared" si="3"/>
        <v>2280</v>
      </c>
      <c r="E6" s="11">
        <f t="shared" si="3"/>
        <v>2280</v>
      </c>
      <c r="F6" s="40" t="e">
        <f t="shared" si="1"/>
        <v>#DIV/0!</v>
      </c>
      <c r="G6" s="11">
        <f t="shared" si="3"/>
        <v>1004055.299</v>
      </c>
      <c r="H6" s="11">
        <f t="shared" si="3"/>
        <v>198230.855</v>
      </c>
      <c r="I6" s="11">
        <f t="shared" si="3"/>
        <v>0</v>
      </c>
      <c r="J6" s="11">
        <f t="shared" si="3"/>
        <v>0</v>
      </c>
      <c r="K6" s="11">
        <f t="shared" si="3"/>
        <v>805824.444</v>
      </c>
      <c r="L6" s="41">
        <f t="shared" si="2"/>
        <v>440.3751311403509</v>
      </c>
      <c r="M6" s="5"/>
    </row>
    <row r="7" spans="1:13" ht="18" customHeight="1">
      <c r="A7" s="72" t="s">
        <v>634</v>
      </c>
      <c r="B7" s="11">
        <f aca="true" t="shared" si="4" ref="B7:K7">B8+B16+B20+B23+B24+B25</f>
        <v>0</v>
      </c>
      <c r="C7" s="11">
        <f t="shared" si="4"/>
        <v>0</v>
      </c>
      <c r="D7" s="11">
        <f t="shared" si="4"/>
        <v>0</v>
      </c>
      <c r="E7" s="11">
        <f t="shared" si="4"/>
        <v>0</v>
      </c>
      <c r="F7" s="40" t="e">
        <f t="shared" si="1"/>
        <v>#DIV/0!</v>
      </c>
      <c r="G7" s="11">
        <f t="shared" si="4"/>
        <v>185112.699</v>
      </c>
      <c r="H7" s="11">
        <f t="shared" si="4"/>
        <v>102307.05500000001</v>
      </c>
      <c r="I7" s="11">
        <f t="shared" si="4"/>
        <v>0</v>
      </c>
      <c r="J7" s="11">
        <f t="shared" si="4"/>
        <v>0</v>
      </c>
      <c r="K7" s="11">
        <f t="shared" si="4"/>
        <v>82805.644</v>
      </c>
      <c r="L7" s="41" t="e">
        <f t="shared" si="2"/>
        <v>#DIV/0!</v>
      </c>
      <c r="M7" s="5"/>
    </row>
    <row r="8" spans="1:13" ht="18" customHeight="1">
      <c r="A8" s="72" t="s">
        <v>635</v>
      </c>
      <c r="B8" s="11">
        <f aca="true" t="shared" si="5" ref="B8:K8">B9+B10+B14+B15</f>
        <v>0</v>
      </c>
      <c r="C8" s="11">
        <f t="shared" si="5"/>
        <v>0</v>
      </c>
      <c r="D8" s="11">
        <f t="shared" si="5"/>
        <v>0</v>
      </c>
      <c r="E8" s="11">
        <f t="shared" si="5"/>
        <v>0</v>
      </c>
      <c r="F8" s="40" t="e">
        <f t="shared" si="1"/>
        <v>#DIV/0!</v>
      </c>
      <c r="G8" s="11">
        <f t="shared" si="5"/>
        <v>140267.4</v>
      </c>
      <c r="H8" s="11">
        <f t="shared" si="5"/>
        <v>77393</v>
      </c>
      <c r="I8" s="11">
        <f t="shared" si="5"/>
        <v>0</v>
      </c>
      <c r="J8" s="11">
        <f t="shared" si="5"/>
        <v>0</v>
      </c>
      <c r="K8" s="11">
        <f t="shared" si="5"/>
        <v>62874.4</v>
      </c>
      <c r="L8" s="41" t="e">
        <f t="shared" si="2"/>
        <v>#DIV/0!</v>
      </c>
      <c r="M8" s="5"/>
    </row>
    <row r="9" spans="1:13" ht="18" customHeight="1">
      <c r="A9" s="72" t="s">
        <v>636</v>
      </c>
      <c r="B9" s="11"/>
      <c r="C9" s="15"/>
      <c r="D9" s="12"/>
      <c r="E9" s="11">
        <f aca="true" t="shared" si="6" ref="E9:E15">C9+D9</f>
        <v>0</v>
      </c>
      <c r="F9" s="40" t="e">
        <f t="shared" si="1"/>
        <v>#DIV/0!</v>
      </c>
      <c r="G9" s="11">
        <f aca="true" t="shared" si="7" ref="G9:G15">SUM(H9:K9)</f>
        <v>73548</v>
      </c>
      <c r="H9" s="21">
        <f>('[5]1)人工成本'!$E$25-'[5]1)人工成本'!$E$20)*3</f>
        <v>40860</v>
      </c>
      <c r="I9" s="12"/>
      <c r="J9" s="12"/>
      <c r="K9" s="21">
        <f>('[5]1)人工成本'!$E$25-'[5]1)人工成本'!$E$20)*3*80%</f>
        <v>32688</v>
      </c>
      <c r="L9" s="41" t="e">
        <f t="shared" si="2"/>
        <v>#DIV/0!</v>
      </c>
      <c r="M9" s="5"/>
    </row>
    <row r="10" spans="1:13" ht="18" customHeight="1">
      <c r="A10" s="72" t="s">
        <v>637</v>
      </c>
      <c r="B10" s="11">
        <f aca="true" t="shared" si="8" ref="B10:K10">SUM(B11:B13)</f>
        <v>0</v>
      </c>
      <c r="C10" s="11">
        <f t="shared" si="8"/>
        <v>0</v>
      </c>
      <c r="D10" s="11">
        <f t="shared" si="8"/>
        <v>0</v>
      </c>
      <c r="E10" s="11">
        <f t="shared" si="8"/>
        <v>0</v>
      </c>
      <c r="F10" s="40" t="e">
        <f t="shared" si="1"/>
        <v>#DIV/0!</v>
      </c>
      <c r="G10" s="11">
        <f t="shared" si="8"/>
        <v>53739</v>
      </c>
      <c r="H10" s="11">
        <f t="shared" si="8"/>
        <v>29855</v>
      </c>
      <c r="I10" s="11">
        <f t="shared" si="8"/>
        <v>0</v>
      </c>
      <c r="J10" s="11">
        <f t="shared" si="8"/>
        <v>0</v>
      </c>
      <c r="K10" s="11">
        <f t="shared" si="8"/>
        <v>23884</v>
      </c>
      <c r="L10" s="41" t="e">
        <f t="shared" si="2"/>
        <v>#DIV/0!</v>
      </c>
      <c r="M10" s="5"/>
    </row>
    <row r="11" spans="1:13" ht="18" customHeight="1">
      <c r="A11" s="75" t="s">
        <v>638</v>
      </c>
      <c r="B11" s="11"/>
      <c r="C11" s="15"/>
      <c r="D11" s="12"/>
      <c r="E11" s="11">
        <f t="shared" si="6"/>
        <v>0</v>
      </c>
      <c r="F11" s="40" t="e">
        <f t="shared" si="1"/>
        <v>#DIV/0!</v>
      </c>
      <c r="G11" s="11">
        <f t="shared" si="7"/>
        <v>0</v>
      </c>
      <c r="H11" s="21"/>
      <c r="I11" s="12"/>
      <c r="J11" s="12"/>
      <c r="K11" s="12"/>
      <c r="L11" s="41" t="e">
        <f t="shared" si="2"/>
        <v>#DIV/0!</v>
      </c>
      <c r="M11" s="5"/>
    </row>
    <row r="12" spans="1:13" ht="18" customHeight="1">
      <c r="A12" s="75" t="s">
        <v>639</v>
      </c>
      <c r="B12" s="11"/>
      <c r="C12" s="15"/>
      <c r="D12" s="12"/>
      <c r="E12" s="11">
        <f t="shared" si="6"/>
        <v>0</v>
      </c>
      <c r="F12" s="40" t="e">
        <f t="shared" si="1"/>
        <v>#DIV/0!</v>
      </c>
      <c r="G12" s="11">
        <f t="shared" si="7"/>
        <v>19980</v>
      </c>
      <c r="H12" s="21">
        <f>('[5]1)人工成本'!$V$25-'[5]1)人工成本'!$V$20)*3</f>
        <v>11100</v>
      </c>
      <c r="I12" s="12"/>
      <c r="J12" s="12"/>
      <c r="K12" s="21">
        <f>('[5]1)人工成本'!$V$25-'[5]1)人工成本'!$V$20)*3*80%</f>
        <v>8880</v>
      </c>
      <c r="L12" s="41" t="e">
        <f t="shared" si="2"/>
        <v>#DIV/0!</v>
      </c>
      <c r="M12" s="5"/>
    </row>
    <row r="13" spans="1:13" ht="18" customHeight="1">
      <c r="A13" s="75" t="s">
        <v>640</v>
      </c>
      <c r="B13" s="11"/>
      <c r="C13" s="15"/>
      <c r="D13" s="12"/>
      <c r="E13" s="11">
        <f t="shared" si="6"/>
        <v>0</v>
      </c>
      <c r="F13" s="40" t="e">
        <f t="shared" si="1"/>
        <v>#DIV/0!</v>
      </c>
      <c r="G13" s="11">
        <f t="shared" si="7"/>
        <v>33759</v>
      </c>
      <c r="H13" s="21">
        <f>('[5]1)人工成本'!$X$25-'[5]1)人工成本'!$X$20)/4</f>
        <v>18755</v>
      </c>
      <c r="I13" s="12"/>
      <c r="J13" s="12"/>
      <c r="K13" s="21">
        <f>('[5]1)人工成本'!$X$25-'[5]1)人工成本'!$X$20)/4*80%</f>
        <v>15004</v>
      </c>
      <c r="L13" s="41" t="e">
        <f t="shared" si="2"/>
        <v>#DIV/0!</v>
      </c>
      <c r="M13" s="5"/>
    </row>
    <row r="14" spans="1:13" ht="18" customHeight="1">
      <c r="A14" s="72" t="s">
        <v>641</v>
      </c>
      <c r="B14" s="11"/>
      <c r="C14" s="15"/>
      <c r="D14" s="12"/>
      <c r="E14" s="11">
        <f t="shared" si="6"/>
        <v>0</v>
      </c>
      <c r="F14" s="40" t="e">
        <f t="shared" si="1"/>
        <v>#DIV/0!</v>
      </c>
      <c r="G14" s="11">
        <f t="shared" si="7"/>
        <v>12980.400000000001</v>
      </c>
      <c r="H14" s="21">
        <f>('[5]1)人工成本'!$G$25-'[5]1)人工成本'!$G$20+'[5]1)人工成本'!$H$25+'[5]1)人工成本'!$I$25-'[5]1)人工成本'!$I$20+'[5]1)人工成本'!$J$25-'[5]1)人工成本'!$J$20)*3</f>
        <v>6678</v>
      </c>
      <c r="I14" s="12"/>
      <c r="J14" s="12"/>
      <c r="K14" s="21">
        <f>(('[5]1)人工成本'!$G$25-'[5]1)人工成本'!$G$20+'[5]1)人工成本'!$H$25+'[5]1)人工成本'!$I$25-'[5]1)人工成本'!$I$20+'[5]1)人工成本'!$J$25-'[5]1)人工成本'!$J$20)*3+'[5]1)人工成本'!$K$25-'[5]1)人工成本'!$K$20)*80%</f>
        <v>6302.400000000001</v>
      </c>
      <c r="L14" s="41" t="e">
        <f t="shared" si="2"/>
        <v>#DIV/0!</v>
      </c>
      <c r="M14" s="5"/>
    </row>
    <row r="15" spans="1:13" ht="18" customHeight="1">
      <c r="A15" s="72" t="s">
        <v>642</v>
      </c>
      <c r="B15" s="11"/>
      <c r="C15" s="15"/>
      <c r="D15" s="12"/>
      <c r="E15" s="11">
        <f t="shared" si="6"/>
        <v>0</v>
      </c>
      <c r="F15" s="40" t="e">
        <f t="shared" si="1"/>
        <v>#DIV/0!</v>
      </c>
      <c r="G15" s="11">
        <f t="shared" si="7"/>
        <v>0</v>
      </c>
      <c r="H15" s="21"/>
      <c r="I15" s="12"/>
      <c r="J15" s="12"/>
      <c r="K15" s="12"/>
      <c r="L15" s="41" t="e">
        <f t="shared" si="2"/>
        <v>#DIV/0!</v>
      </c>
      <c r="M15" s="5"/>
    </row>
    <row r="16" spans="1:13" ht="18" customHeight="1">
      <c r="A16" s="72" t="s">
        <v>643</v>
      </c>
      <c r="B16" s="11">
        <f aca="true" t="shared" si="9" ref="B16:K16">SUM(B17:B19)</f>
        <v>0</v>
      </c>
      <c r="C16" s="11">
        <f t="shared" si="9"/>
        <v>0</v>
      </c>
      <c r="D16" s="11">
        <f t="shared" si="9"/>
        <v>0</v>
      </c>
      <c r="E16" s="11">
        <f t="shared" si="9"/>
        <v>0</v>
      </c>
      <c r="F16" s="40" t="e">
        <f t="shared" si="1"/>
        <v>#DIV/0!</v>
      </c>
      <c r="G16" s="11">
        <f t="shared" si="9"/>
        <v>0</v>
      </c>
      <c r="H16" s="11">
        <f t="shared" si="9"/>
        <v>0</v>
      </c>
      <c r="I16" s="11">
        <f t="shared" si="9"/>
        <v>0</v>
      </c>
      <c r="J16" s="11">
        <f t="shared" si="9"/>
        <v>0</v>
      </c>
      <c r="K16" s="11">
        <f t="shared" si="9"/>
        <v>0</v>
      </c>
      <c r="L16" s="41" t="e">
        <f t="shared" si="2"/>
        <v>#DIV/0!</v>
      </c>
      <c r="M16" s="5"/>
    </row>
    <row r="17" spans="1:13" ht="18" customHeight="1">
      <c r="A17" s="72" t="s">
        <v>644</v>
      </c>
      <c r="B17" s="11"/>
      <c r="C17" s="15"/>
      <c r="D17" s="12"/>
      <c r="E17" s="11">
        <f aca="true" t="shared" si="10" ref="E17:E19">C17+D17</f>
        <v>0</v>
      </c>
      <c r="F17" s="40" t="e">
        <f t="shared" si="1"/>
        <v>#DIV/0!</v>
      </c>
      <c r="G17" s="11">
        <f aca="true" t="shared" si="11" ref="G17:G19">SUM(H17:K17)</f>
        <v>0</v>
      </c>
      <c r="H17" s="21"/>
      <c r="I17" s="12"/>
      <c r="J17" s="12"/>
      <c r="K17" s="12"/>
      <c r="L17" s="41" t="e">
        <f t="shared" si="2"/>
        <v>#DIV/0!</v>
      </c>
      <c r="M17" s="5"/>
    </row>
    <row r="18" spans="1:13" ht="18" customHeight="1">
      <c r="A18" s="72" t="s">
        <v>645</v>
      </c>
      <c r="B18" s="11"/>
      <c r="C18" s="15"/>
      <c r="D18" s="12"/>
      <c r="E18" s="11">
        <f t="shared" si="10"/>
        <v>0</v>
      </c>
      <c r="F18" s="40" t="e">
        <f t="shared" si="1"/>
        <v>#DIV/0!</v>
      </c>
      <c r="G18" s="11">
        <f t="shared" si="11"/>
        <v>0</v>
      </c>
      <c r="H18" s="21"/>
      <c r="I18" s="12"/>
      <c r="J18" s="12"/>
      <c r="K18" s="12"/>
      <c r="L18" s="41" t="e">
        <f t="shared" si="2"/>
        <v>#DIV/0!</v>
      </c>
      <c r="M18" s="5"/>
    </row>
    <row r="19" spans="1:13" ht="18" customHeight="1">
      <c r="A19" s="72" t="s">
        <v>646</v>
      </c>
      <c r="B19" s="11"/>
      <c r="C19" s="15"/>
      <c r="D19" s="12"/>
      <c r="E19" s="11">
        <f t="shared" si="10"/>
        <v>0</v>
      </c>
      <c r="F19" s="40" t="e">
        <f t="shared" si="1"/>
        <v>#DIV/0!</v>
      </c>
      <c r="G19" s="11">
        <f t="shared" si="11"/>
        <v>0</v>
      </c>
      <c r="H19" s="21"/>
      <c r="I19" s="12"/>
      <c r="J19" s="12"/>
      <c r="K19" s="12"/>
      <c r="L19" s="41" t="e">
        <f t="shared" si="2"/>
        <v>#DIV/0!</v>
      </c>
      <c r="M19" s="5"/>
    </row>
    <row r="20" spans="1:13" ht="18" customHeight="1">
      <c r="A20" s="72" t="s">
        <v>647</v>
      </c>
      <c r="B20" s="11">
        <f aca="true" t="shared" si="12" ref="B20:K20">SUM(B21:B22)</f>
        <v>0</v>
      </c>
      <c r="C20" s="11">
        <f t="shared" si="12"/>
        <v>0</v>
      </c>
      <c r="D20" s="11">
        <f t="shared" si="12"/>
        <v>0</v>
      </c>
      <c r="E20" s="11">
        <f t="shared" si="12"/>
        <v>0</v>
      </c>
      <c r="F20" s="40" t="e">
        <f t="shared" si="1"/>
        <v>#DIV/0!</v>
      </c>
      <c r="G20" s="11">
        <f t="shared" si="12"/>
        <v>28086.48</v>
      </c>
      <c r="H20" s="11">
        <f t="shared" si="12"/>
        <v>15603.6</v>
      </c>
      <c r="I20" s="11">
        <f t="shared" si="12"/>
        <v>0</v>
      </c>
      <c r="J20" s="11">
        <f t="shared" si="12"/>
        <v>0</v>
      </c>
      <c r="K20" s="11">
        <f t="shared" si="12"/>
        <v>12482.880000000001</v>
      </c>
      <c r="L20" s="41" t="e">
        <f t="shared" si="2"/>
        <v>#DIV/0!</v>
      </c>
      <c r="M20" s="5"/>
    </row>
    <row r="21" spans="1:13" ht="18" customHeight="1">
      <c r="A21" s="72" t="s">
        <v>648</v>
      </c>
      <c r="B21" s="11"/>
      <c r="C21" s="15"/>
      <c r="D21" s="12"/>
      <c r="E21" s="11">
        <f aca="true" t="shared" si="13" ref="E21:E26">C21+D21</f>
        <v>0</v>
      </c>
      <c r="F21" s="40" t="e">
        <f t="shared" si="1"/>
        <v>#DIV/0!</v>
      </c>
      <c r="G21" s="11">
        <f aca="true" t="shared" si="14" ref="G21:G26">SUM(H21:K21)</f>
        <v>27209.736</v>
      </c>
      <c r="H21" s="21">
        <f>('[5]1)人工成本'!$N$25+'[5]1)人工成本'!$O$25+'[5]1)人工成本'!$P$25+'[5]1)人工成本'!$Q$25-'[5]1)人工成本'!$N$20-'[5]1)人工成本'!$O$20-'[5]1)人工成本'!$P$20-'[5]1)人工成本'!$Q$20)*3</f>
        <v>15116.52</v>
      </c>
      <c r="I21" s="12"/>
      <c r="J21" s="12"/>
      <c r="K21" s="21">
        <f>('[5]1)人工成本'!$N$25+'[5]1)人工成本'!$O$25+'[5]1)人工成本'!$P$25+'[5]1)人工成本'!$Q$25-'[5]1)人工成本'!$N$20-'[5]1)人工成本'!$O$20-'[5]1)人工成本'!$P$20-'[5]1)人工成本'!$Q$20)*3*80%</f>
        <v>12093.216</v>
      </c>
      <c r="L21" s="41" t="e">
        <f t="shared" si="2"/>
        <v>#DIV/0!</v>
      </c>
      <c r="M21" s="5"/>
    </row>
    <row r="22" spans="1:13" ht="18" customHeight="1">
      <c r="A22" s="72" t="s">
        <v>649</v>
      </c>
      <c r="B22" s="11"/>
      <c r="C22" s="15"/>
      <c r="D22" s="12"/>
      <c r="E22" s="11">
        <f t="shared" si="13"/>
        <v>0</v>
      </c>
      <c r="F22" s="40" t="e">
        <f t="shared" si="1"/>
        <v>#DIV/0!</v>
      </c>
      <c r="G22" s="11">
        <f t="shared" si="14"/>
        <v>876.7440000000004</v>
      </c>
      <c r="H22" s="21">
        <f>'[5]1)人工成本'!$AI$25*3</f>
        <v>487.0800000000002</v>
      </c>
      <c r="I22" s="12"/>
      <c r="J22" s="12"/>
      <c r="K22" s="21">
        <f>'[5]1)人工成本'!$AI$25*3*80%</f>
        <v>389.6640000000002</v>
      </c>
      <c r="L22" s="41" t="e">
        <f t="shared" si="2"/>
        <v>#DIV/0!</v>
      </c>
      <c r="M22" s="5"/>
    </row>
    <row r="23" spans="1:13" ht="18" customHeight="1">
      <c r="A23" s="72" t="s">
        <v>650</v>
      </c>
      <c r="B23" s="11"/>
      <c r="C23" s="15"/>
      <c r="D23" s="12"/>
      <c r="E23" s="11">
        <f t="shared" si="13"/>
        <v>0</v>
      </c>
      <c r="F23" s="40" t="e">
        <f t="shared" si="1"/>
        <v>#DIV/0!</v>
      </c>
      <c r="G23" s="11">
        <f t="shared" si="14"/>
        <v>11907</v>
      </c>
      <c r="H23" s="21">
        <f>('[5]1)人工成本'!$S$25-'[5]1)人工成本'!$S$20)*3</f>
        <v>6615</v>
      </c>
      <c r="I23" s="12"/>
      <c r="J23" s="12"/>
      <c r="K23" s="21">
        <f>('[5]1)人工成本'!$S$25-'[5]1)人工成本'!$S$20)*3*80%</f>
        <v>5292</v>
      </c>
      <c r="L23" s="41" t="e">
        <f t="shared" si="2"/>
        <v>#DIV/0!</v>
      </c>
      <c r="M23" s="5"/>
    </row>
    <row r="24" spans="1:13" ht="18" customHeight="1">
      <c r="A24" s="72" t="s">
        <v>651</v>
      </c>
      <c r="B24" s="11"/>
      <c r="C24" s="15"/>
      <c r="D24" s="12"/>
      <c r="E24" s="11">
        <f t="shared" si="13"/>
        <v>0</v>
      </c>
      <c r="F24" s="40" t="e">
        <f t="shared" si="1"/>
        <v>#DIV/0!</v>
      </c>
      <c r="G24" s="11">
        <f t="shared" si="14"/>
        <v>2079.3509999999997</v>
      </c>
      <c r="H24" s="21">
        <f>('[5]1)人工成本'!$U$25-'[5]1)人工成本'!$U$20)/4</f>
        <v>1155.195</v>
      </c>
      <c r="I24" s="21"/>
      <c r="J24" s="21"/>
      <c r="K24" s="21">
        <f>('[5]1)人工成本'!$U$25-'[5]1)人工成本'!$U$20)/4*80%</f>
        <v>924.156</v>
      </c>
      <c r="L24" s="41" t="e">
        <f t="shared" si="2"/>
        <v>#DIV/0!</v>
      </c>
      <c r="M24" s="5"/>
    </row>
    <row r="25" spans="1:13" ht="18" customHeight="1">
      <c r="A25" s="72" t="s">
        <v>652</v>
      </c>
      <c r="B25" s="11"/>
      <c r="C25" s="15"/>
      <c r="D25" s="12"/>
      <c r="E25" s="11">
        <f t="shared" si="13"/>
        <v>0</v>
      </c>
      <c r="F25" s="40" t="e">
        <f t="shared" si="1"/>
        <v>#DIV/0!</v>
      </c>
      <c r="G25" s="11">
        <f t="shared" si="14"/>
        <v>2772.4680000000008</v>
      </c>
      <c r="H25" s="21">
        <f>('[5]1)人工成本'!$T$25-'[5]1)人工成本'!$T$20)/4</f>
        <v>1540.2600000000002</v>
      </c>
      <c r="I25" s="21"/>
      <c r="J25" s="21"/>
      <c r="K25" s="21">
        <f>('[5]1)人工成本'!$T$25-'[5]1)人工成本'!$T$20)/4*80%</f>
        <v>1232.2080000000003</v>
      </c>
      <c r="L25" s="41" t="e">
        <f t="shared" si="2"/>
        <v>#DIV/0!</v>
      </c>
      <c r="M25" s="5"/>
    </row>
    <row r="26" spans="1:13" ht="18" customHeight="1">
      <c r="A26" s="108" t="s">
        <v>653</v>
      </c>
      <c r="B26" s="11"/>
      <c r="C26" s="15"/>
      <c r="D26" s="21">
        <v>2280</v>
      </c>
      <c r="E26" s="11">
        <f t="shared" si="13"/>
        <v>2280</v>
      </c>
      <c r="F26" s="40" t="e">
        <f t="shared" si="1"/>
        <v>#DIV/0!</v>
      </c>
      <c r="G26" s="11">
        <f t="shared" si="14"/>
        <v>286225.8</v>
      </c>
      <c r="H26" s="21">
        <v>26565</v>
      </c>
      <c r="I26" s="21"/>
      <c r="J26" s="21"/>
      <c r="K26" s="21">
        <v>259660.8</v>
      </c>
      <c r="L26" s="41">
        <f t="shared" si="2"/>
        <v>125.53763157894737</v>
      </c>
      <c r="M26" s="5"/>
    </row>
    <row r="27" spans="1:13" ht="18" customHeight="1">
      <c r="A27" s="108" t="s">
        <v>654</v>
      </c>
      <c r="B27" s="11">
        <f aca="true" t="shared" si="15" ref="B27:K27">SUM(B28:B31)</f>
        <v>0</v>
      </c>
      <c r="C27" s="11">
        <f t="shared" si="15"/>
        <v>0</v>
      </c>
      <c r="D27" s="11">
        <f t="shared" si="15"/>
        <v>0</v>
      </c>
      <c r="E27" s="11">
        <f t="shared" si="15"/>
        <v>0</v>
      </c>
      <c r="F27" s="40" t="e">
        <f t="shared" si="1"/>
        <v>#DIV/0!</v>
      </c>
      <c r="G27" s="11">
        <f t="shared" si="15"/>
        <v>532716.8</v>
      </c>
      <c r="H27" s="11">
        <f t="shared" si="15"/>
        <v>69358.8</v>
      </c>
      <c r="I27" s="11">
        <f t="shared" si="15"/>
        <v>0</v>
      </c>
      <c r="J27" s="11">
        <f t="shared" si="15"/>
        <v>0</v>
      </c>
      <c r="K27" s="11">
        <f t="shared" si="15"/>
        <v>463358</v>
      </c>
      <c r="L27" s="41" t="e">
        <f t="shared" si="2"/>
        <v>#DIV/0!</v>
      </c>
      <c r="M27" s="5"/>
    </row>
    <row r="28" spans="1:13" ht="18" customHeight="1">
      <c r="A28" s="108" t="s">
        <v>655</v>
      </c>
      <c r="B28" s="11"/>
      <c r="C28" s="15"/>
      <c r="D28" s="12"/>
      <c r="E28" s="11">
        <f aca="true" t="shared" si="16" ref="E28:E31">C28+D28</f>
        <v>0</v>
      </c>
      <c r="F28" s="40" t="e">
        <f t="shared" si="1"/>
        <v>#DIV/0!</v>
      </c>
      <c r="G28" s="11">
        <f aca="true" t="shared" si="17" ref="G28:G31">SUM(H28:K28)</f>
        <v>32200</v>
      </c>
      <c r="H28" s="21"/>
      <c r="I28" s="21"/>
      <c r="J28" s="21"/>
      <c r="K28" s="21">
        <v>32200</v>
      </c>
      <c r="L28" s="41" t="e">
        <f t="shared" si="2"/>
        <v>#DIV/0!</v>
      </c>
      <c r="M28" s="5"/>
    </row>
    <row r="29" spans="1:13" ht="18" customHeight="1">
      <c r="A29" s="108" t="s">
        <v>656</v>
      </c>
      <c r="B29" s="11"/>
      <c r="C29" s="15"/>
      <c r="D29" s="12"/>
      <c r="E29" s="11">
        <f t="shared" si="16"/>
        <v>0</v>
      </c>
      <c r="F29" s="40" t="e">
        <f t="shared" si="1"/>
        <v>#DIV/0!</v>
      </c>
      <c r="G29" s="11">
        <f t="shared" si="17"/>
        <v>302680</v>
      </c>
      <c r="H29" s="21"/>
      <c r="I29" s="21"/>
      <c r="J29" s="21"/>
      <c r="K29" s="21">
        <v>302680</v>
      </c>
      <c r="L29" s="41" t="e">
        <f t="shared" si="2"/>
        <v>#DIV/0!</v>
      </c>
      <c r="M29" s="5"/>
    </row>
    <row r="30" spans="1:13" ht="18" customHeight="1">
      <c r="A30" s="108" t="s">
        <v>657</v>
      </c>
      <c r="B30" s="11"/>
      <c r="C30" s="15"/>
      <c r="D30" s="12"/>
      <c r="E30" s="11">
        <f t="shared" si="16"/>
        <v>0</v>
      </c>
      <c r="F30" s="40" t="e">
        <f t="shared" si="1"/>
        <v>#DIV/0!</v>
      </c>
      <c r="G30" s="11">
        <f t="shared" si="17"/>
        <v>90160</v>
      </c>
      <c r="H30" s="21">
        <v>45080</v>
      </c>
      <c r="I30" s="21"/>
      <c r="J30" s="21"/>
      <c r="K30" s="21">
        <v>45080</v>
      </c>
      <c r="L30" s="41" t="e">
        <f t="shared" si="2"/>
        <v>#DIV/0!</v>
      </c>
      <c r="M30" s="5"/>
    </row>
    <row r="31" spans="1:13" ht="18" customHeight="1">
      <c r="A31" s="108" t="s">
        <v>658</v>
      </c>
      <c r="B31" s="11"/>
      <c r="C31" s="15"/>
      <c r="D31" s="12"/>
      <c r="E31" s="11">
        <f t="shared" si="16"/>
        <v>0</v>
      </c>
      <c r="F31" s="40" t="e">
        <f t="shared" si="1"/>
        <v>#DIV/0!</v>
      </c>
      <c r="G31" s="11">
        <f t="shared" si="17"/>
        <v>107676.8</v>
      </c>
      <c r="H31" s="21">
        <v>24278.8</v>
      </c>
      <c r="I31" s="21"/>
      <c r="J31" s="21"/>
      <c r="K31" s="21">
        <v>83398</v>
      </c>
      <c r="L31" s="41" t="e">
        <f t="shared" si="2"/>
        <v>#DIV/0!</v>
      </c>
      <c r="M31" s="5"/>
    </row>
    <row r="32" spans="1:13" ht="18" customHeight="1">
      <c r="A32" s="25" t="s">
        <v>659</v>
      </c>
      <c r="B32" s="26">
        <f aca="true" t="shared" si="18" ref="B32:K32">SUM(B33:B42)</f>
        <v>0</v>
      </c>
      <c r="C32" s="26">
        <f t="shared" si="18"/>
        <v>0</v>
      </c>
      <c r="D32" s="26">
        <f t="shared" si="18"/>
        <v>0</v>
      </c>
      <c r="E32" s="26">
        <f t="shared" si="18"/>
        <v>0</v>
      </c>
      <c r="F32" s="40" t="e">
        <f t="shared" si="1"/>
        <v>#DIV/0!</v>
      </c>
      <c r="G32" s="26">
        <f t="shared" si="18"/>
        <v>88470.6</v>
      </c>
      <c r="H32" s="26">
        <f t="shared" si="18"/>
        <v>1200</v>
      </c>
      <c r="I32" s="26">
        <f t="shared" si="18"/>
        <v>0</v>
      </c>
      <c r="J32" s="26">
        <f t="shared" si="18"/>
        <v>0</v>
      </c>
      <c r="K32" s="26">
        <f t="shared" si="18"/>
        <v>87270.6</v>
      </c>
      <c r="L32" s="41" t="e">
        <f t="shared" si="2"/>
        <v>#DIV/0!</v>
      </c>
      <c r="M32" s="5"/>
    </row>
    <row r="33" spans="1:13" ht="18" customHeight="1">
      <c r="A33" s="25" t="s">
        <v>660</v>
      </c>
      <c r="B33" s="11"/>
      <c r="C33" s="12"/>
      <c r="D33" s="12"/>
      <c r="E33" s="11">
        <f aca="true" t="shared" si="19" ref="E33:E42">C33+D33</f>
        <v>0</v>
      </c>
      <c r="F33" s="40" t="e">
        <f t="shared" si="1"/>
        <v>#DIV/0!</v>
      </c>
      <c r="G33" s="11">
        <f aca="true" t="shared" si="20" ref="G33:G41">SUM(H33:K33)</f>
        <v>0</v>
      </c>
      <c r="H33" s="21"/>
      <c r="I33" s="21"/>
      <c r="J33" s="21"/>
      <c r="K33" s="21"/>
      <c r="L33" s="41" t="e">
        <f t="shared" si="2"/>
        <v>#DIV/0!</v>
      </c>
      <c r="M33" s="5"/>
    </row>
    <row r="34" spans="1:13" ht="18" customHeight="1">
      <c r="A34" s="25" t="s">
        <v>661</v>
      </c>
      <c r="B34" s="11"/>
      <c r="C34" s="12"/>
      <c r="D34" s="12"/>
      <c r="E34" s="11">
        <f t="shared" si="19"/>
        <v>0</v>
      </c>
      <c r="F34" s="40" t="e">
        <f t="shared" si="1"/>
        <v>#DIV/0!</v>
      </c>
      <c r="G34" s="11">
        <f t="shared" si="20"/>
        <v>0</v>
      </c>
      <c r="H34" s="21"/>
      <c r="I34" s="21"/>
      <c r="J34" s="21"/>
      <c r="K34" s="21"/>
      <c r="L34" s="41" t="e">
        <f t="shared" si="2"/>
        <v>#DIV/0!</v>
      </c>
      <c r="M34" s="5"/>
    </row>
    <row r="35" spans="1:13" ht="18" customHeight="1">
      <c r="A35" s="25" t="s">
        <v>662</v>
      </c>
      <c r="B35" s="11"/>
      <c r="C35" s="12"/>
      <c r="D35" s="12"/>
      <c r="E35" s="11">
        <f t="shared" si="19"/>
        <v>0</v>
      </c>
      <c r="F35" s="40" t="e">
        <f t="shared" si="1"/>
        <v>#DIV/0!</v>
      </c>
      <c r="G35" s="11">
        <f t="shared" si="20"/>
        <v>0</v>
      </c>
      <c r="H35" s="21"/>
      <c r="I35" s="21"/>
      <c r="J35" s="21"/>
      <c r="K35" s="21"/>
      <c r="L35" s="41" t="e">
        <f t="shared" si="2"/>
        <v>#DIV/0!</v>
      </c>
      <c r="M35" s="5"/>
    </row>
    <row r="36" spans="1:13" ht="18" customHeight="1">
      <c r="A36" s="25" t="s">
        <v>663</v>
      </c>
      <c r="B36" s="11"/>
      <c r="C36" s="12"/>
      <c r="D36" s="12"/>
      <c r="E36" s="11">
        <f t="shared" si="19"/>
        <v>0</v>
      </c>
      <c r="F36" s="40" t="e">
        <f t="shared" si="1"/>
        <v>#DIV/0!</v>
      </c>
      <c r="G36" s="11">
        <f t="shared" si="20"/>
        <v>400</v>
      </c>
      <c r="H36" s="21">
        <v>200</v>
      </c>
      <c r="I36" s="21"/>
      <c r="J36" s="21"/>
      <c r="K36" s="21">
        <v>200</v>
      </c>
      <c r="L36" s="41" t="e">
        <f t="shared" si="2"/>
        <v>#DIV/0!</v>
      </c>
      <c r="M36" s="5"/>
    </row>
    <row r="37" spans="1:13" ht="18" customHeight="1">
      <c r="A37" s="25" t="s">
        <v>664</v>
      </c>
      <c r="B37" s="11"/>
      <c r="C37" s="12"/>
      <c r="D37" s="12"/>
      <c r="E37" s="11">
        <f t="shared" si="19"/>
        <v>0</v>
      </c>
      <c r="F37" s="40" t="e">
        <f t="shared" si="1"/>
        <v>#DIV/0!</v>
      </c>
      <c r="G37" s="11">
        <f t="shared" si="20"/>
        <v>0</v>
      </c>
      <c r="H37" s="21"/>
      <c r="I37" s="21"/>
      <c r="J37" s="21"/>
      <c r="K37" s="21"/>
      <c r="L37" s="41" t="e">
        <f t="shared" si="2"/>
        <v>#DIV/0!</v>
      </c>
      <c r="M37" s="5"/>
    </row>
    <row r="38" spans="1:13" ht="18" customHeight="1">
      <c r="A38" s="25" t="s">
        <v>665</v>
      </c>
      <c r="B38" s="11"/>
      <c r="C38" s="12"/>
      <c r="D38" s="12"/>
      <c r="E38" s="11">
        <f t="shared" si="19"/>
        <v>0</v>
      </c>
      <c r="F38" s="40" t="e">
        <f t="shared" si="1"/>
        <v>#DIV/0!</v>
      </c>
      <c r="G38" s="11">
        <f t="shared" si="20"/>
        <v>0</v>
      </c>
      <c r="H38" s="21"/>
      <c r="I38" s="21"/>
      <c r="J38" s="21"/>
      <c r="K38" s="21"/>
      <c r="L38" s="41" t="e">
        <f t="shared" si="2"/>
        <v>#DIV/0!</v>
      </c>
      <c r="M38" s="5"/>
    </row>
    <row r="39" spans="1:13" ht="18" customHeight="1">
      <c r="A39" s="25" t="s">
        <v>666</v>
      </c>
      <c r="B39" s="11"/>
      <c r="C39" s="12"/>
      <c r="D39" s="12"/>
      <c r="E39" s="11">
        <f t="shared" si="19"/>
        <v>0</v>
      </c>
      <c r="F39" s="40" t="e">
        <f t="shared" si="1"/>
        <v>#DIV/0!</v>
      </c>
      <c r="G39" s="11">
        <f t="shared" si="20"/>
        <v>2000</v>
      </c>
      <c r="H39" s="21">
        <v>1000</v>
      </c>
      <c r="I39" s="21"/>
      <c r="J39" s="21"/>
      <c r="K39" s="21">
        <v>1000</v>
      </c>
      <c r="L39" s="41" t="e">
        <f t="shared" si="2"/>
        <v>#DIV/0!</v>
      </c>
      <c r="M39" s="5"/>
    </row>
    <row r="40" spans="1:13" ht="18" customHeight="1">
      <c r="A40" s="25" t="s">
        <v>667</v>
      </c>
      <c r="B40" s="26"/>
      <c r="C40" s="12"/>
      <c r="D40" s="12"/>
      <c r="E40" s="11">
        <f t="shared" si="19"/>
        <v>0</v>
      </c>
      <c r="F40" s="40" t="e">
        <f t="shared" si="1"/>
        <v>#DIV/0!</v>
      </c>
      <c r="G40" s="11">
        <f t="shared" si="20"/>
        <v>0</v>
      </c>
      <c r="H40" s="21"/>
      <c r="I40" s="21"/>
      <c r="J40" s="21"/>
      <c r="K40" s="21"/>
      <c r="L40" s="41" t="e">
        <f t="shared" si="2"/>
        <v>#DIV/0!</v>
      </c>
      <c r="M40" s="5"/>
    </row>
    <row r="41" spans="1:13" ht="18" customHeight="1">
      <c r="A41" s="25" t="s">
        <v>668</v>
      </c>
      <c r="B41" s="11"/>
      <c r="C41" s="12"/>
      <c r="D41" s="12"/>
      <c r="E41" s="11">
        <f t="shared" si="19"/>
        <v>0</v>
      </c>
      <c r="F41" s="40" t="e">
        <f t="shared" si="1"/>
        <v>#DIV/0!</v>
      </c>
      <c r="G41" s="11">
        <f t="shared" si="20"/>
        <v>0</v>
      </c>
      <c r="H41" s="21"/>
      <c r="I41" s="21"/>
      <c r="J41" s="21"/>
      <c r="K41" s="21"/>
      <c r="L41" s="41" t="e">
        <f t="shared" si="2"/>
        <v>#DIV/0!</v>
      </c>
      <c r="M41" s="5"/>
    </row>
    <row r="42" spans="1:13" ht="18" customHeight="1">
      <c r="A42" s="25" t="s">
        <v>669</v>
      </c>
      <c r="B42" s="11"/>
      <c r="C42" s="12"/>
      <c r="D42" s="12"/>
      <c r="E42" s="11">
        <f t="shared" si="19"/>
        <v>0</v>
      </c>
      <c r="F42" s="40" t="e">
        <f t="shared" si="1"/>
        <v>#DIV/0!</v>
      </c>
      <c r="G42" s="11">
        <f>SUM(I42:K42)</f>
        <v>86070.6</v>
      </c>
      <c r="H42" s="114"/>
      <c r="I42" s="21"/>
      <c r="J42" s="21"/>
      <c r="K42" s="21">
        <v>86070.6</v>
      </c>
      <c r="L42" s="41" t="e">
        <f t="shared" si="2"/>
        <v>#DIV/0!</v>
      </c>
      <c r="M42" s="5"/>
    </row>
    <row r="43" spans="1:13" ht="18" customHeight="1">
      <c r="A43" s="25" t="s">
        <v>670</v>
      </c>
      <c r="B43" s="11">
        <f aca="true" t="shared" si="21" ref="B43:K43">SUM(B44:B46)</f>
        <v>0</v>
      </c>
      <c r="C43" s="11">
        <f t="shared" si="21"/>
        <v>0</v>
      </c>
      <c r="D43" s="11">
        <f t="shared" si="21"/>
        <v>0</v>
      </c>
      <c r="E43" s="11">
        <f t="shared" si="21"/>
        <v>0</v>
      </c>
      <c r="F43" s="40" t="e">
        <f t="shared" si="1"/>
        <v>#DIV/0!</v>
      </c>
      <c r="G43" s="11">
        <f t="shared" si="21"/>
        <v>96600</v>
      </c>
      <c r="H43" s="11">
        <f t="shared" si="21"/>
        <v>48300</v>
      </c>
      <c r="I43" s="11">
        <f t="shared" si="21"/>
        <v>0</v>
      </c>
      <c r="J43" s="11">
        <f t="shared" si="21"/>
        <v>0</v>
      </c>
      <c r="K43" s="11">
        <f t="shared" si="21"/>
        <v>48300</v>
      </c>
      <c r="L43" s="41" t="e">
        <f t="shared" si="2"/>
        <v>#DIV/0!</v>
      </c>
      <c r="M43" s="5"/>
    </row>
    <row r="44" spans="1:13" ht="18" customHeight="1">
      <c r="A44" s="25" t="s">
        <v>671</v>
      </c>
      <c r="B44" s="11"/>
      <c r="C44" s="12"/>
      <c r="D44" s="12"/>
      <c r="E44" s="11">
        <f aca="true" t="shared" si="22" ref="E44:E47">C44+D44</f>
        <v>0</v>
      </c>
      <c r="F44" s="40" t="e">
        <f t="shared" si="1"/>
        <v>#DIV/0!</v>
      </c>
      <c r="G44" s="11">
        <f aca="true" t="shared" si="23" ref="G44:G47">SUM(H44:K44)</f>
        <v>0</v>
      </c>
      <c r="H44" s="21"/>
      <c r="I44" s="21"/>
      <c r="J44" s="21"/>
      <c r="K44" s="21"/>
      <c r="L44" s="41" t="e">
        <f t="shared" si="2"/>
        <v>#DIV/0!</v>
      </c>
      <c r="M44" s="5"/>
    </row>
    <row r="45" spans="1:13" ht="18" customHeight="1">
      <c r="A45" s="25" t="s">
        <v>672</v>
      </c>
      <c r="B45" s="11"/>
      <c r="C45" s="12"/>
      <c r="D45" s="12"/>
      <c r="E45" s="11">
        <f t="shared" si="22"/>
        <v>0</v>
      </c>
      <c r="F45" s="40" t="e">
        <f t="shared" si="1"/>
        <v>#DIV/0!</v>
      </c>
      <c r="G45" s="11">
        <f t="shared" si="23"/>
        <v>0</v>
      </c>
      <c r="H45" s="21"/>
      <c r="I45" s="21"/>
      <c r="J45" s="21"/>
      <c r="K45" s="21"/>
      <c r="L45" s="41" t="e">
        <f t="shared" si="2"/>
        <v>#DIV/0!</v>
      </c>
      <c r="M45" s="5"/>
    </row>
    <row r="46" spans="1:13" ht="18" customHeight="1">
      <c r="A46" s="25" t="s">
        <v>673</v>
      </c>
      <c r="B46" s="11"/>
      <c r="C46" s="12"/>
      <c r="D46" s="12"/>
      <c r="E46" s="11">
        <f t="shared" si="22"/>
        <v>0</v>
      </c>
      <c r="F46" s="40" t="e">
        <f t="shared" si="1"/>
        <v>#DIV/0!</v>
      </c>
      <c r="G46" s="11">
        <f t="shared" si="23"/>
        <v>96600</v>
      </c>
      <c r="H46" s="21">
        <f>322*600/4</f>
        <v>48300</v>
      </c>
      <c r="I46" s="21"/>
      <c r="J46" s="21"/>
      <c r="K46" s="21">
        <f>322*600/4</f>
        <v>48300</v>
      </c>
      <c r="L46" s="41" t="e">
        <f t="shared" si="2"/>
        <v>#DIV/0!</v>
      </c>
      <c r="M46" s="5"/>
    </row>
    <row r="47" spans="1:13" ht="18" customHeight="1">
      <c r="A47" s="109" t="s">
        <v>674</v>
      </c>
      <c r="B47" s="110"/>
      <c r="C47" s="112"/>
      <c r="D47" s="112"/>
      <c r="E47" s="11">
        <f t="shared" si="22"/>
        <v>0</v>
      </c>
      <c r="F47" s="40" t="e">
        <f t="shared" si="1"/>
        <v>#DIV/0!</v>
      </c>
      <c r="G47" s="11">
        <f t="shared" si="23"/>
        <v>1191405.899</v>
      </c>
      <c r="H47" s="111">
        <f>H5+E5</f>
        <v>250010.855</v>
      </c>
      <c r="I47" s="111">
        <f aca="true" t="shared" si="24" ref="I47:K47">I5</f>
        <v>0</v>
      </c>
      <c r="J47" s="111">
        <f t="shared" si="24"/>
        <v>0</v>
      </c>
      <c r="K47" s="111">
        <f t="shared" si="24"/>
        <v>941395.044</v>
      </c>
      <c r="L47" s="41" t="e">
        <f t="shared" si="2"/>
        <v>#DIV/0!</v>
      </c>
      <c r="M47" s="115" t="s">
        <v>676</v>
      </c>
    </row>
    <row r="48" spans="1:13" ht="12.75">
      <c r="A48" s="25" t="s">
        <v>628</v>
      </c>
      <c r="B48" s="11"/>
      <c r="C48" s="12"/>
      <c r="D48" s="12"/>
      <c r="E48" s="11"/>
      <c r="F48" s="40"/>
      <c r="G48" s="11">
        <f>E5-E47+G5-G47</f>
        <v>0</v>
      </c>
      <c r="H48" s="12"/>
      <c r="I48" s="12"/>
      <c r="J48" s="12"/>
      <c r="K48" s="12"/>
      <c r="L48" s="41"/>
      <c r="M48" s="5"/>
    </row>
    <row r="49" spans="1:13" ht="12.75">
      <c r="A49" s="25"/>
      <c r="B49" s="11"/>
      <c r="C49" s="12"/>
      <c r="D49" s="12"/>
      <c r="E49" s="11"/>
      <c r="F49" s="40"/>
      <c r="G49" s="11"/>
      <c r="H49" s="12"/>
      <c r="I49" s="12"/>
      <c r="J49" s="12"/>
      <c r="K49" s="12"/>
      <c r="L49" s="41"/>
      <c r="M49" s="5"/>
    </row>
    <row r="50" spans="1:13" ht="12.75">
      <c r="A50" s="5"/>
      <c r="B50" s="5"/>
      <c r="C50" s="16"/>
      <c r="D50" s="4" t="s">
        <v>677</v>
      </c>
      <c r="E50" s="5"/>
      <c r="F50" s="5"/>
      <c r="G50" s="5"/>
      <c r="H50" s="16"/>
      <c r="I50" s="4" t="s">
        <v>678</v>
      </c>
      <c r="J50" s="5"/>
      <c r="K50" s="5"/>
      <c r="L50" s="5"/>
      <c r="M50" s="5"/>
    </row>
  </sheetData>
  <sheetProtection/>
  <mergeCells count="6">
    <mergeCell ref="A1:M1"/>
    <mergeCell ref="B3:F3"/>
    <mergeCell ref="G3:K3"/>
    <mergeCell ref="A3:A4"/>
    <mergeCell ref="L3:L4"/>
    <mergeCell ref="M3:M4"/>
  </mergeCells>
  <printOptions/>
  <pageMargins left="1.18" right="0.19" top="0.55" bottom="0.39" header="0.28" footer="0.16"/>
  <pageSetup fitToHeight="1" fitToWidth="1" horizontalDpi="300" verticalDpi="300" orientation="landscape" paperSize="9" scale="76"/>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0"/>
  <sheetViews>
    <sheetView workbookViewId="0" topLeftCell="A1">
      <selection activeCell="A2" sqref="A2"/>
    </sheetView>
  </sheetViews>
  <sheetFormatPr defaultColWidth="9.140625" defaultRowHeight="12.75"/>
  <cols>
    <col min="1" max="1" width="30.28125" style="0" customWidth="1"/>
    <col min="2" max="2" width="13.140625" style="0" customWidth="1"/>
    <col min="3" max="3" width="10.7109375" style="0" customWidth="1"/>
    <col min="4" max="4" width="11.7109375" style="0" customWidth="1"/>
    <col min="5" max="6" width="10.7109375" style="0" customWidth="1"/>
    <col min="7" max="11" width="13.7109375" style="0" customWidth="1"/>
    <col min="12" max="13" width="10.7109375" style="0" customWidth="1"/>
  </cols>
  <sheetData>
    <row r="1" spans="1:13" ht="25.5" customHeight="1">
      <c r="A1" s="105" t="s">
        <v>679</v>
      </c>
      <c r="B1" s="23"/>
      <c r="C1" s="23" t="s">
        <v>598</v>
      </c>
      <c r="D1" s="23" t="s">
        <v>598</v>
      </c>
      <c r="E1" s="23" t="s">
        <v>598</v>
      </c>
      <c r="F1" s="23"/>
      <c r="G1" s="23" t="s">
        <v>598</v>
      </c>
      <c r="H1" s="23" t="s">
        <v>598</v>
      </c>
      <c r="I1" s="23" t="s">
        <v>598</v>
      </c>
      <c r="J1" s="23" t="s">
        <v>598</v>
      </c>
      <c r="K1" s="23" t="s">
        <v>598</v>
      </c>
      <c r="L1" s="23" t="s">
        <v>598</v>
      </c>
      <c r="M1" s="23" t="s">
        <v>598</v>
      </c>
    </row>
    <row r="2" spans="1:13" ht="18" customHeight="1">
      <c r="A2" s="106" t="s">
        <v>364</v>
      </c>
      <c r="B2" s="107"/>
      <c r="C2" s="45"/>
      <c r="D2" s="46"/>
      <c r="E2" s="47"/>
      <c r="F2" s="55"/>
      <c r="G2" s="24" t="s">
        <v>288</v>
      </c>
      <c r="H2" s="5"/>
      <c r="I2" s="5"/>
      <c r="J2" s="5"/>
      <c r="K2" s="5"/>
      <c r="L2" s="16" t="s">
        <v>599</v>
      </c>
      <c r="M2" s="5"/>
    </row>
    <row r="3" spans="1:13" ht="18" customHeight="1">
      <c r="A3" s="18" t="s">
        <v>290</v>
      </c>
      <c r="B3" s="90" t="s">
        <v>366</v>
      </c>
      <c r="C3" s="38"/>
      <c r="D3" s="38"/>
      <c r="E3" s="38"/>
      <c r="F3" s="39"/>
      <c r="G3" s="9" t="s">
        <v>292</v>
      </c>
      <c r="H3" s="9"/>
      <c r="I3" s="9" t="s">
        <v>292</v>
      </c>
      <c r="J3" s="9" t="s">
        <v>292</v>
      </c>
      <c r="K3" s="9" t="s">
        <v>292</v>
      </c>
      <c r="L3" s="9" t="s">
        <v>293</v>
      </c>
      <c r="M3" s="18" t="s">
        <v>33</v>
      </c>
    </row>
    <row r="4" spans="1:13" ht="18" customHeight="1">
      <c r="A4" s="18"/>
      <c r="B4" s="9" t="s">
        <v>294</v>
      </c>
      <c r="C4" s="9" t="s">
        <v>463</v>
      </c>
      <c r="D4" s="9" t="s">
        <v>296</v>
      </c>
      <c r="E4" s="9" t="s">
        <v>464</v>
      </c>
      <c r="F4" s="9" t="s">
        <v>299</v>
      </c>
      <c r="G4" s="9" t="s">
        <v>314</v>
      </c>
      <c r="H4" s="9" t="s">
        <v>324</v>
      </c>
      <c r="I4" s="9" t="s">
        <v>331</v>
      </c>
      <c r="J4" s="9" t="s">
        <v>334</v>
      </c>
      <c r="K4" s="9" t="s">
        <v>336</v>
      </c>
      <c r="L4" s="9" t="s">
        <v>293</v>
      </c>
      <c r="M4" s="18" t="s">
        <v>33</v>
      </c>
    </row>
    <row r="5" spans="1:13" ht="18" customHeight="1">
      <c r="A5" s="25" t="s">
        <v>632</v>
      </c>
      <c r="B5" s="11">
        <f aca="true" t="shared" si="0" ref="B5:K5">B6+B32+B43</f>
        <v>0</v>
      </c>
      <c r="C5" s="11">
        <f t="shared" si="0"/>
        <v>0</v>
      </c>
      <c r="D5" s="11">
        <f t="shared" si="0"/>
        <v>0</v>
      </c>
      <c r="E5" s="11">
        <f t="shared" si="0"/>
        <v>0</v>
      </c>
      <c r="F5" s="40" t="e">
        <f aca="true" t="shared" si="1" ref="F5:F47">E5/B5</f>
        <v>#DIV/0!</v>
      </c>
      <c r="G5" s="11">
        <f t="shared" si="0"/>
        <v>16956.5</v>
      </c>
      <c r="H5" s="11">
        <f t="shared" si="0"/>
        <v>3619</v>
      </c>
      <c r="I5" s="11">
        <f t="shared" si="0"/>
        <v>0</v>
      </c>
      <c r="J5" s="11">
        <f t="shared" si="0"/>
        <v>0</v>
      </c>
      <c r="K5" s="11">
        <f t="shared" si="0"/>
        <v>13337.5</v>
      </c>
      <c r="L5" s="41" t="e">
        <f aca="true" t="shared" si="2" ref="L5:L47">G5/E5</f>
        <v>#DIV/0!</v>
      </c>
      <c r="M5" s="5"/>
    </row>
    <row r="6" spans="1:13" ht="18" customHeight="1">
      <c r="A6" s="25" t="s">
        <v>633</v>
      </c>
      <c r="B6" s="11">
        <f aca="true" t="shared" si="3" ref="B6:K6">B7+B26+B27</f>
        <v>0</v>
      </c>
      <c r="C6" s="11">
        <f t="shared" si="3"/>
        <v>0</v>
      </c>
      <c r="D6" s="11">
        <f t="shared" si="3"/>
        <v>0</v>
      </c>
      <c r="E6" s="11">
        <f t="shared" si="3"/>
        <v>0</v>
      </c>
      <c r="F6" s="40" t="e">
        <f t="shared" si="1"/>
        <v>#DIV/0!</v>
      </c>
      <c r="G6" s="11">
        <f t="shared" si="3"/>
        <v>15114</v>
      </c>
      <c r="H6" s="11">
        <f t="shared" si="3"/>
        <v>3069</v>
      </c>
      <c r="I6" s="11">
        <f t="shared" si="3"/>
        <v>0</v>
      </c>
      <c r="J6" s="11">
        <f t="shared" si="3"/>
        <v>0</v>
      </c>
      <c r="K6" s="11">
        <f t="shared" si="3"/>
        <v>12045</v>
      </c>
      <c r="L6" s="41" t="e">
        <f t="shared" si="2"/>
        <v>#DIV/0!</v>
      </c>
      <c r="M6" s="5"/>
    </row>
    <row r="7" spans="1:13" ht="18" customHeight="1">
      <c r="A7" s="72" t="s">
        <v>634</v>
      </c>
      <c r="B7" s="11">
        <f aca="true" t="shared" si="4" ref="B7:K7">B8+B16+B20+B23+B24+B25</f>
        <v>0</v>
      </c>
      <c r="C7" s="11">
        <f t="shared" si="4"/>
        <v>0</v>
      </c>
      <c r="D7" s="11">
        <f t="shared" si="4"/>
        <v>0</v>
      </c>
      <c r="E7" s="11">
        <f t="shared" si="4"/>
        <v>0</v>
      </c>
      <c r="F7" s="40" t="e">
        <f t="shared" si="1"/>
        <v>#DIV/0!</v>
      </c>
      <c r="G7" s="11">
        <f t="shared" si="4"/>
        <v>0</v>
      </c>
      <c r="H7" s="11">
        <f t="shared" si="4"/>
        <v>0</v>
      </c>
      <c r="I7" s="11">
        <f t="shared" si="4"/>
        <v>0</v>
      </c>
      <c r="J7" s="11">
        <f t="shared" si="4"/>
        <v>0</v>
      </c>
      <c r="K7" s="11">
        <f t="shared" si="4"/>
        <v>0</v>
      </c>
      <c r="L7" s="41" t="e">
        <f t="shared" si="2"/>
        <v>#DIV/0!</v>
      </c>
      <c r="M7" s="5"/>
    </row>
    <row r="8" spans="1:13" ht="18" customHeight="1">
      <c r="A8" s="72" t="s">
        <v>635</v>
      </c>
      <c r="B8" s="11">
        <f aca="true" t="shared" si="5" ref="B8:K8">B9+B10+B14+B15</f>
        <v>0</v>
      </c>
      <c r="C8" s="11">
        <f t="shared" si="5"/>
        <v>0</v>
      </c>
      <c r="D8" s="11">
        <f t="shared" si="5"/>
        <v>0</v>
      </c>
      <c r="E8" s="11">
        <f t="shared" si="5"/>
        <v>0</v>
      </c>
      <c r="F8" s="40" t="e">
        <f t="shared" si="1"/>
        <v>#DIV/0!</v>
      </c>
      <c r="G8" s="11">
        <f t="shared" si="5"/>
        <v>0</v>
      </c>
      <c r="H8" s="11">
        <f t="shared" si="5"/>
        <v>0</v>
      </c>
      <c r="I8" s="11">
        <f t="shared" si="5"/>
        <v>0</v>
      </c>
      <c r="J8" s="11">
        <f t="shared" si="5"/>
        <v>0</v>
      </c>
      <c r="K8" s="11">
        <f t="shared" si="5"/>
        <v>0</v>
      </c>
      <c r="L8" s="41" t="e">
        <f t="shared" si="2"/>
        <v>#DIV/0!</v>
      </c>
      <c r="M8" s="5"/>
    </row>
    <row r="9" spans="1:13" ht="18" customHeight="1">
      <c r="A9" s="72" t="s">
        <v>636</v>
      </c>
      <c r="B9" s="11"/>
      <c r="C9" s="15"/>
      <c r="D9" s="12"/>
      <c r="E9" s="11">
        <f aca="true" t="shared" si="6" ref="E9:E15">C9+D9</f>
        <v>0</v>
      </c>
      <c r="F9" s="40" t="e">
        <f t="shared" si="1"/>
        <v>#DIV/0!</v>
      </c>
      <c r="G9" s="11">
        <f aca="true" t="shared" si="7" ref="G9:G15">SUM(H9:K9)</f>
        <v>0</v>
      </c>
      <c r="H9" s="12"/>
      <c r="I9" s="12"/>
      <c r="J9" s="12"/>
      <c r="K9" s="12"/>
      <c r="L9" s="41" t="e">
        <f t="shared" si="2"/>
        <v>#DIV/0!</v>
      </c>
      <c r="M9" s="5"/>
    </row>
    <row r="10" spans="1:13" ht="18" customHeight="1">
      <c r="A10" s="72" t="s">
        <v>637</v>
      </c>
      <c r="B10" s="11">
        <f aca="true" t="shared" si="8" ref="B10:K10">SUM(B11:B13)</f>
        <v>0</v>
      </c>
      <c r="C10" s="11">
        <f t="shared" si="8"/>
        <v>0</v>
      </c>
      <c r="D10" s="11">
        <f t="shared" si="8"/>
        <v>0</v>
      </c>
      <c r="E10" s="11">
        <f t="shared" si="8"/>
        <v>0</v>
      </c>
      <c r="F10" s="40" t="e">
        <f t="shared" si="1"/>
        <v>#DIV/0!</v>
      </c>
      <c r="G10" s="11">
        <f t="shared" si="8"/>
        <v>0</v>
      </c>
      <c r="H10" s="11">
        <f t="shared" si="8"/>
        <v>0</v>
      </c>
      <c r="I10" s="11">
        <f t="shared" si="8"/>
        <v>0</v>
      </c>
      <c r="J10" s="11">
        <f t="shared" si="8"/>
        <v>0</v>
      </c>
      <c r="K10" s="11">
        <f t="shared" si="8"/>
        <v>0</v>
      </c>
      <c r="L10" s="41" t="e">
        <f t="shared" si="2"/>
        <v>#DIV/0!</v>
      </c>
      <c r="M10" s="5"/>
    </row>
    <row r="11" spans="1:13" ht="18" customHeight="1">
      <c r="A11" s="75" t="s">
        <v>638</v>
      </c>
      <c r="B11" s="11"/>
      <c r="C11" s="15"/>
      <c r="D11" s="12"/>
      <c r="E11" s="11">
        <f t="shared" si="6"/>
        <v>0</v>
      </c>
      <c r="F11" s="40" t="e">
        <f t="shared" si="1"/>
        <v>#DIV/0!</v>
      </c>
      <c r="G11" s="11">
        <f t="shared" si="7"/>
        <v>0</v>
      </c>
      <c r="H11" s="12"/>
      <c r="I11" s="12"/>
      <c r="J11" s="12"/>
      <c r="K11" s="12"/>
      <c r="L11" s="41" t="e">
        <f t="shared" si="2"/>
        <v>#DIV/0!</v>
      </c>
      <c r="M11" s="5"/>
    </row>
    <row r="12" spans="1:13" ht="18" customHeight="1">
      <c r="A12" s="75" t="s">
        <v>639</v>
      </c>
      <c r="B12" s="11"/>
      <c r="C12" s="15"/>
      <c r="D12" s="12"/>
      <c r="E12" s="11">
        <f t="shared" si="6"/>
        <v>0</v>
      </c>
      <c r="F12" s="40" t="e">
        <f t="shared" si="1"/>
        <v>#DIV/0!</v>
      </c>
      <c r="G12" s="11">
        <f t="shared" si="7"/>
        <v>0</v>
      </c>
      <c r="H12" s="12"/>
      <c r="I12" s="12"/>
      <c r="J12" s="12"/>
      <c r="K12" s="12"/>
      <c r="L12" s="41" t="e">
        <f t="shared" si="2"/>
        <v>#DIV/0!</v>
      </c>
      <c r="M12" s="5"/>
    </row>
    <row r="13" spans="1:13" ht="18" customHeight="1">
      <c r="A13" s="75" t="s">
        <v>640</v>
      </c>
      <c r="B13" s="11"/>
      <c r="C13" s="15"/>
      <c r="D13" s="12"/>
      <c r="E13" s="11">
        <f t="shared" si="6"/>
        <v>0</v>
      </c>
      <c r="F13" s="40" t="e">
        <f t="shared" si="1"/>
        <v>#DIV/0!</v>
      </c>
      <c r="G13" s="11">
        <f t="shared" si="7"/>
        <v>0</v>
      </c>
      <c r="H13" s="12"/>
      <c r="I13" s="12"/>
      <c r="J13" s="12"/>
      <c r="K13" s="12"/>
      <c r="L13" s="41" t="e">
        <f t="shared" si="2"/>
        <v>#DIV/0!</v>
      </c>
      <c r="M13" s="5"/>
    </row>
    <row r="14" spans="1:13" ht="18" customHeight="1">
      <c r="A14" s="72" t="s">
        <v>641</v>
      </c>
      <c r="B14" s="11"/>
      <c r="C14" s="15"/>
      <c r="D14" s="12"/>
      <c r="E14" s="11">
        <f t="shared" si="6"/>
        <v>0</v>
      </c>
      <c r="F14" s="40" t="e">
        <f t="shared" si="1"/>
        <v>#DIV/0!</v>
      </c>
      <c r="G14" s="11">
        <f t="shared" si="7"/>
        <v>0</v>
      </c>
      <c r="H14" s="12"/>
      <c r="I14" s="12"/>
      <c r="J14" s="12"/>
      <c r="K14" s="12"/>
      <c r="L14" s="41" t="e">
        <f t="shared" si="2"/>
        <v>#DIV/0!</v>
      </c>
      <c r="M14" s="5"/>
    </row>
    <row r="15" spans="1:13" ht="18" customHeight="1">
      <c r="A15" s="72" t="s">
        <v>642</v>
      </c>
      <c r="B15" s="11"/>
      <c r="C15" s="15"/>
      <c r="D15" s="12"/>
      <c r="E15" s="11">
        <f t="shared" si="6"/>
        <v>0</v>
      </c>
      <c r="F15" s="40" t="e">
        <f t="shared" si="1"/>
        <v>#DIV/0!</v>
      </c>
      <c r="G15" s="11">
        <f t="shared" si="7"/>
        <v>0</v>
      </c>
      <c r="H15" s="12"/>
      <c r="I15" s="12"/>
      <c r="J15" s="12"/>
      <c r="K15" s="12"/>
      <c r="L15" s="41" t="e">
        <f t="shared" si="2"/>
        <v>#DIV/0!</v>
      </c>
      <c r="M15" s="5"/>
    </row>
    <row r="16" spans="1:13" ht="18" customHeight="1">
      <c r="A16" s="72" t="s">
        <v>643</v>
      </c>
      <c r="B16" s="11">
        <f aca="true" t="shared" si="9" ref="B16:K16">SUM(B17:B19)</f>
        <v>0</v>
      </c>
      <c r="C16" s="11">
        <f t="shared" si="9"/>
        <v>0</v>
      </c>
      <c r="D16" s="11">
        <f t="shared" si="9"/>
        <v>0</v>
      </c>
      <c r="E16" s="11">
        <f t="shared" si="9"/>
        <v>0</v>
      </c>
      <c r="F16" s="40" t="e">
        <f t="shared" si="1"/>
        <v>#DIV/0!</v>
      </c>
      <c r="G16" s="11">
        <f t="shared" si="9"/>
        <v>0</v>
      </c>
      <c r="H16" s="11">
        <f t="shared" si="9"/>
        <v>0</v>
      </c>
      <c r="I16" s="11">
        <f t="shared" si="9"/>
        <v>0</v>
      </c>
      <c r="J16" s="11">
        <f t="shared" si="9"/>
        <v>0</v>
      </c>
      <c r="K16" s="11">
        <f t="shared" si="9"/>
        <v>0</v>
      </c>
      <c r="L16" s="41" t="e">
        <f t="shared" si="2"/>
        <v>#DIV/0!</v>
      </c>
      <c r="M16" s="5"/>
    </row>
    <row r="17" spans="1:13" ht="18" customHeight="1">
      <c r="A17" s="72" t="s">
        <v>644</v>
      </c>
      <c r="B17" s="11"/>
      <c r="C17" s="15"/>
      <c r="D17" s="12"/>
      <c r="E17" s="11">
        <f aca="true" t="shared" si="10" ref="E17:E19">C17+D17</f>
        <v>0</v>
      </c>
      <c r="F17" s="40" t="e">
        <f t="shared" si="1"/>
        <v>#DIV/0!</v>
      </c>
      <c r="G17" s="11">
        <f aca="true" t="shared" si="11" ref="G17:G19">SUM(H17:K17)</f>
        <v>0</v>
      </c>
      <c r="H17" s="12"/>
      <c r="I17" s="12"/>
      <c r="J17" s="12"/>
      <c r="K17" s="12"/>
      <c r="L17" s="41" t="e">
        <f t="shared" si="2"/>
        <v>#DIV/0!</v>
      </c>
      <c r="M17" s="5"/>
    </row>
    <row r="18" spans="1:13" ht="18" customHeight="1">
      <c r="A18" s="72" t="s">
        <v>645</v>
      </c>
      <c r="B18" s="11"/>
      <c r="C18" s="15"/>
      <c r="D18" s="12"/>
      <c r="E18" s="11">
        <f t="shared" si="10"/>
        <v>0</v>
      </c>
      <c r="F18" s="40" t="e">
        <f t="shared" si="1"/>
        <v>#DIV/0!</v>
      </c>
      <c r="G18" s="11">
        <f t="shared" si="11"/>
        <v>0</v>
      </c>
      <c r="H18" s="12"/>
      <c r="I18" s="12"/>
      <c r="J18" s="12"/>
      <c r="K18" s="12"/>
      <c r="L18" s="41" t="e">
        <f t="shared" si="2"/>
        <v>#DIV/0!</v>
      </c>
      <c r="M18" s="5"/>
    </row>
    <row r="19" spans="1:13" ht="18" customHeight="1">
      <c r="A19" s="72" t="s">
        <v>646</v>
      </c>
      <c r="B19" s="11"/>
      <c r="C19" s="15"/>
      <c r="D19" s="12"/>
      <c r="E19" s="11">
        <f t="shared" si="10"/>
        <v>0</v>
      </c>
      <c r="F19" s="40" t="e">
        <f t="shared" si="1"/>
        <v>#DIV/0!</v>
      </c>
      <c r="G19" s="11">
        <f t="shared" si="11"/>
        <v>0</v>
      </c>
      <c r="H19" s="12"/>
      <c r="I19" s="12"/>
      <c r="J19" s="12"/>
      <c r="K19" s="12"/>
      <c r="L19" s="41" t="e">
        <f t="shared" si="2"/>
        <v>#DIV/0!</v>
      </c>
      <c r="M19" s="5"/>
    </row>
    <row r="20" spans="1:13" ht="18" customHeight="1">
      <c r="A20" s="72" t="s">
        <v>647</v>
      </c>
      <c r="B20" s="11">
        <f aca="true" t="shared" si="12" ref="B20:K20">SUM(B21:B22)</f>
        <v>0</v>
      </c>
      <c r="C20" s="11">
        <f t="shared" si="12"/>
        <v>0</v>
      </c>
      <c r="D20" s="11">
        <f t="shared" si="12"/>
        <v>0</v>
      </c>
      <c r="E20" s="11">
        <f t="shared" si="12"/>
        <v>0</v>
      </c>
      <c r="F20" s="40" t="e">
        <f t="shared" si="1"/>
        <v>#DIV/0!</v>
      </c>
      <c r="G20" s="11">
        <f t="shared" si="12"/>
        <v>0</v>
      </c>
      <c r="H20" s="11">
        <f t="shared" si="12"/>
        <v>0</v>
      </c>
      <c r="I20" s="11">
        <f t="shared" si="12"/>
        <v>0</v>
      </c>
      <c r="J20" s="11">
        <f t="shared" si="12"/>
        <v>0</v>
      </c>
      <c r="K20" s="11">
        <f t="shared" si="12"/>
        <v>0</v>
      </c>
      <c r="L20" s="41" t="e">
        <f t="shared" si="2"/>
        <v>#DIV/0!</v>
      </c>
      <c r="M20" s="5"/>
    </row>
    <row r="21" spans="1:13" ht="18" customHeight="1">
      <c r="A21" s="72" t="s">
        <v>648</v>
      </c>
      <c r="B21" s="11"/>
      <c r="C21" s="15"/>
      <c r="D21" s="12"/>
      <c r="E21" s="11">
        <f aca="true" t="shared" si="13" ref="E21:E26">C21+D21</f>
        <v>0</v>
      </c>
      <c r="F21" s="40" t="e">
        <f t="shared" si="1"/>
        <v>#DIV/0!</v>
      </c>
      <c r="G21" s="11">
        <f aca="true" t="shared" si="14" ref="G21:G26">SUM(H21:K21)</f>
        <v>0</v>
      </c>
      <c r="H21" s="21"/>
      <c r="I21" s="21"/>
      <c r="J21" s="21"/>
      <c r="K21" s="21"/>
      <c r="L21" s="41" t="e">
        <f t="shared" si="2"/>
        <v>#DIV/0!</v>
      </c>
      <c r="M21" s="5"/>
    </row>
    <row r="22" spans="1:13" ht="18" customHeight="1">
      <c r="A22" s="72" t="s">
        <v>649</v>
      </c>
      <c r="B22" s="11"/>
      <c r="C22" s="15"/>
      <c r="D22" s="12"/>
      <c r="E22" s="11">
        <f t="shared" si="13"/>
        <v>0</v>
      </c>
      <c r="F22" s="40" t="e">
        <f t="shared" si="1"/>
        <v>#DIV/0!</v>
      </c>
      <c r="G22" s="11">
        <f t="shared" si="14"/>
        <v>0</v>
      </c>
      <c r="H22" s="21"/>
      <c r="I22" s="21"/>
      <c r="J22" s="21"/>
      <c r="K22" s="21"/>
      <c r="L22" s="41" t="e">
        <f t="shared" si="2"/>
        <v>#DIV/0!</v>
      </c>
      <c r="M22" s="5"/>
    </row>
    <row r="23" spans="1:13" ht="18" customHeight="1">
      <c r="A23" s="72" t="s">
        <v>650</v>
      </c>
      <c r="B23" s="11"/>
      <c r="C23" s="15"/>
      <c r="D23" s="12"/>
      <c r="E23" s="11">
        <f t="shared" si="13"/>
        <v>0</v>
      </c>
      <c r="F23" s="40" t="e">
        <f t="shared" si="1"/>
        <v>#DIV/0!</v>
      </c>
      <c r="G23" s="11">
        <f t="shared" si="14"/>
        <v>0</v>
      </c>
      <c r="H23" s="21"/>
      <c r="I23" s="21"/>
      <c r="J23" s="21"/>
      <c r="K23" s="21"/>
      <c r="L23" s="41" t="e">
        <f t="shared" si="2"/>
        <v>#DIV/0!</v>
      </c>
      <c r="M23" s="5"/>
    </row>
    <row r="24" spans="1:13" ht="18" customHeight="1">
      <c r="A24" s="72" t="s">
        <v>651</v>
      </c>
      <c r="B24" s="11"/>
      <c r="C24" s="15"/>
      <c r="D24" s="12"/>
      <c r="E24" s="11">
        <f t="shared" si="13"/>
        <v>0</v>
      </c>
      <c r="F24" s="40" t="e">
        <f t="shared" si="1"/>
        <v>#DIV/0!</v>
      </c>
      <c r="G24" s="11">
        <f t="shared" si="14"/>
        <v>0</v>
      </c>
      <c r="H24" s="21"/>
      <c r="I24" s="21"/>
      <c r="J24" s="21"/>
      <c r="K24" s="21"/>
      <c r="L24" s="41" t="e">
        <f t="shared" si="2"/>
        <v>#DIV/0!</v>
      </c>
      <c r="M24" s="5"/>
    </row>
    <row r="25" spans="1:13" ht="18" customHeight="1">
      <c r="A25" s="72" t="s">
        <v>652</v>
      </c>
      <c r="B25" s="11"/>
      <c r="C25" s="15"/>
      <c r="D25" s="12"/>
      <c r="E25" s="11">
        <f t="shared" si="13"/>
        <v>0</v>
      </c>
      <c r="F25" s="40" t="e">
        <f t="shared" si="1"/>
        <v>#DIV/0!</v>
      </c>
      <c r="G25" s="11">
        <f t="shared" si="14"/>
        <v>0</v>
      </c>
      <c r="H25" s="21"/>
      <c r="I25" s="21"/>
      <c r="J25" s="21"/>
      <c r="K25" s="21"/>
      <c r="L25" s="41" t="e">
        <f t="shared" si="2"/>
        <v>#DIV/0!</v>
      </c>
      <c r="M25" s="5"/>
    </row>
    <row r="26" spans="1:13" ht="18" customHeight="1">
      <c r="A26" s="108" t="s">
        <v>653</v>
      </c>
      <c r="B26" s="11"/>
      <c r="C26" s="15"/>
      <c r="D26" s="12"/>
      <c r="E26" s="11">
        <f t="shared" si="13"/>
        <v>0</v>
      </c>
      <c r="F26" s="40" t="e">
        <f t="shared" si="1"/>
        <v>#DIV/0!</v>
      </c>
      <c r="G26" s="11">
        <f t="shared" si="14"/>
        <v>9438</v>
      </c>
      <c r="H26" s="21">
        <v>3069</v>
      </c>
      <c r="I26" s="21"/>
      <c r="J26" s="21"/>
      <c r="K26" s="21">
        <v>6369</v>
      </c>
      <c r="L26" s="41" t="e">
        <f t="shared" si="2"/>
        <v>#DIV/0!</v>
      </c>
      <c r="M26" s="5"/>
    </row>
    <row r="27" spans="1:13" ht="18" customHeight="1">
      <c r="A27" s="108" t="s">
        <v>654</v>
      </c>
      <c r="B27" s="11">
        <f aca="true" t="shared" si="15" ref="B27:K27">SUM(B28:B31)</f>
        <v>0</v>
      </c>
      <c r="C27" s="11">
        <f t="shared" si="15"/>
        <v>0</v>
      </c>
      <c r="D27" s="11">
        <f t="shared" si="15"/>
        <v>0</v>
      </c>
      <c r="E27" s="11">
        <f t="shared" si="15"/>
        <v>0</v>
      </c>
      <c r="F27" s="40" t="e">
        <f t="shared" si="1"/>
        <v>#DIV/0!</v>
      </c>
      <c r="G27" s="11">
        <f t="shared" si="15"/>
        <v>5676</v>
      </c>
      <c r="H27" s="11">
        <f t="shared" si="15"/>
        <v>0</v>
      </c>
      <c r="I27" s="11">
        <f t="shared" si="15"/>
        <v>0</v>
      </c>
      <c r="J27" s="11">
        <f t="shared" si="15"/>
        <v>0</v>
      </c>
      <c r="K27" s="11">
        <f t="shared" si="15"/>
        <v>5676</v>
      </c>
      <c r="L27" s="41" t="e">
        <f t="shared" si="2"/>
        <v>#DIV/0!</v>
      </c>
      <c r="M27" s="5"/>
    </row>
    <row r="28" spans="1:13" ht="18" customHeight="1">
      <c r="A28" s="108" t="s">
        <v>655</v>
      </c>
      <c r="B28" s="11"/>
      <c r="C28" s="15"/>
      <c r="D28" s="12"/>
      <c r="E28" s="11">
        <f aca="true" t="shared" si="16" ref="E28:E31">C28+D28</f>
        <v>0</v>
      </c>
      <c r="F28" s="40" t="e">
        <f t="shared" si="1"/>
        <v>#DIV/0!</v>
      </c>
      <c r="G28" s="11">
        <f aca="true" t="shared" si="17" ref="G28:G31">SUM(H28:K28)</f>
        <v>0</v>
      </c>
      <c r="H28" s="21"/>
      <c r="I28" s="21"/>
      <c r="J28" s="21"/>
      <c r="K28" s="21"/>
      <c r="L28" s="41" t="e">
        <f t="shared" si="2"/>
        <v>#DIV/0!</v>
      </c>
      <c r="M28" s="5"/>
    </row>
    <row r="29" spans="1:13" ht="18" customHeight="1">
      <c r="A29" s="108" t="s">
        <v>656</v>
      </c>
      <c r="B29" s="11"/>
      <c r="C29" s="15"/>
      <c r="D29" s="12"/>
      <c r="E29" s="11">
        <f t="shared" si="16"/>
        <v>0</v>
      </c>
      <c r="F29" s="40" t="e">
        <f t="shared" si="1"/>
        <v>#DIV/0!</v>
      </c>
      <c r="G29" s="11">
        <f t="shared" si="17"/>
        <v>4320</v>
      </c>
      <c r="H29" s="21"/>
      <c r="I29" s="21"/>
      <c r="J29" s="21"/>
      <c r="K29" s="21">
        <v>4320</v>
      </c>
      <c r="L29" s="41" t="e">
        <f t="shared" si="2"/>
        <v>#DIV/0!</v>
      </c>
      <c r="M29" s="5"/>
    </row>
    <row r="30" spans="1:13" ht="18" customHeight="1">
      <c r="A30" s="108" t="s">
        <v>657</v>
      </c>
      <c r="B30" s="11"/>
      <c r="C30" s="15"/>
      <c r="D30" s="12"/>
      <c r="E30" s="11">
        <f t="shared" si="16"/>
        <v>0</v>
      </c>
      <c r="F30" s="40" t="e">
        <f t="shared" si="1"/>
        <v>#DIV/0!</v>
      </c>
      <c r="G30" s="11">
        <f t="shared" si="17"/>
        <v>840</v>
      </c>
      <c r="H30" s="21"/>
      <c r="I30" s="21"/>
      <c r="J30" s="21"/>
      <c r="K30" s="21">
        <v>840</v>
      </c>
      <c r="L30" s="41" t="e">
        <f t="shared" si="2"/>
        <v>#DIV/0!</v>
      </c>
      <c r="M30" s="5"/>
    </row>
    <row r="31" spans="1:13" ht="18" customHeight="1">
      <c r="A31" s="108" t="s">
        <v>658</v>
      </c>
      <c r="B31" s="11"/>
      <c r="C31" s="15"/>
      <c r="D31" s="12"/>
      <c r="E31" s="11">
        <f t="shared" si="16"/>
        <v>0</v>
      </c>
      <c r="F31" s="40" t="e">
        <f t="shared" si="1"/>
        <v>#DIV/0!</v>
      </c>
      <c r="G31" s="11">
        <f t="shared" si="17"/>
        <v>516</v>
      </c>
      <c r="H31" s="21"/>
      <c r="I31" s="21"/>
      <c r="J31" s="21"/>
      <c r="K31" s="21">
        <v>516</v>
      </c>
      <c r="L31" s="41" t="e">
        <f t="shared" si="2"/>
        <v>#DIV/0!</v>
      </c>
      <c r="M31" s="5"/>
    </row>
    <row r="32" spans="1:13" ht="18" customHeight="1">
      <c r="A32" s="25" t="s">
        <v>659</v>
      </c>
      <c r="B32" s="26">
        <f aca="true" t="shared" si="18" ref="B32:K32">SUM(B33:B42)</f>
        <v>0</v>
      </c>
      <c r="C32" s="26">
        <f t="shared" si="18"/>
        <v>0</v>
      </c>
      <c r="D32" s="26">
        <f t="shared" si="18"/>
        <v>0</v>
      </c>
      <c r="E32" s="26">
        <f t="shared" si="18"/>
        <v>0</v>
      </c>
      <c r="F32" s="40" t="e">
        <f t="shared" si="1"/>
        <v>#DIV/0!</v>
      </c>
      <c r="G32" s="26">
        <f t="shared" si="18"/>
        <v>942.5</v>
      </c>
      <c r="H32" s="26">
        <f t="shared" si="18"/>
        <v>100</v>
      </c>
      <c r="I32" s="26">
        <f t="shared" si="18"/>
        <v>0</v>
      </c>
      <c r="J32" s="26">
        <f t="shared" si="18"/>
        <v>0</v>
      </c>
      <c r="K32" s="26">
        <f t="shared" si="18"/>
        <v>842.5</v>
      </c>
      <c r="L32" s="41" t="e">
        <f t="shared" si="2"/>
        <v>#DIV/0!</v>
      </c>
      <c r="M32" s="5"/>
    </row>
    <row r="33" spans="1:13" ht="18" customHeight="1">
      <c r="A33" s="25" t="s">
        <v>660</v>
      </c>
      <c r="B33" s="11"/>
      <c r="C33" s="12"/>
      <c r="D33" s="12"/>
      <c r="E33" s="11">
        <f aca="true" t="shared" si="19" ref="E33:E42">C33+D33</f>
        <v>0</v>
      </c>
      <c r="F33" s="40" t="e">
        <f t="shared" si="1"/>
        <v>#DIV/0!</v>
      </c>
      <c r="G33" s="11">
        <f aca="true" t="shared" si="20" ref="G33:G42">SUM(H33:K33)</f>
        <v>0</v>
      </c>
      <c r="H33" s="21"/>
      <c r="I33" s="21"/>
      <c r="J33" s="21"/>
      <c r="K33" s="21"/>
      <c r="L33" s="41" t="e">
        <f t="shared" si="2"/>
        <v>#DIV/0!</v>
      </c>
      <c r="M33" s="5"/>
    </row>
    <row r="34" spans="1:13" ht="18" customHeight="1">
      <c r="A34" s="25" t="s">
        <v>661</v>
      </c>
      <c r="B34" s="11"/>
      <c r="C34" s="12"/>
      <c r="D34" s="12"/>
      <c r="E34" s="11">
        <f t="shared" si="19"/>
        <v>0</v>
      </c>
      <c r="F34" s="40" t="e">
        <f t="shared" si="1"/>
        <v>#DIV/0!</v>
      </c>
      <c r="G34" s="11">
        <f t="shared" si="20"/>
        <v>0</v>
      </c>
      <c r="H34" s="21"/>
      <c r="I34" s="21"/>
      <c r="J34" s="21"/>
      <c r="K34" s="21"/>
      <c r="L34" s="41" t="e">
        <f t="shared" si="2"/>
        <v>#DIV/0!</v>
      </c>
      <c r="M34" s="5"/>
    </row>
    <row r="35" spans="1:13" ht="18" customHeight="1">
      <c r="A35" s="25" t="s">
        <v>662</v>
      </c>
      <c r="B35" s="11"/>
      <c r="C35" s="12"/>
      <c r="D35" s="12"/>
      <c r="E35" s="11">
        <f t="shared" si="19"/>
        <v>0</v>
      </c>
      <c r="F35" s="40" t="e">
        <f t="shared" si="1"/>
        <v>#DIV/0!</v>
      </c>
      <c r="G35" s="11">
        <f t="shared" si="20"/>
        <v>0</v>
      </c>
      <c r="H35" s="21"/>
      <c r="I35" s="21"/>
      <c r="J35" s="21"/>
      <c r="K35" s="21"/>
      <c r="L35" s="41" t="e">
        <f t="shared" si="2"/>
        <v>#DIV/0!</v>
      </c>
      <c r="M35" s="5"/>
    </row>
    <row r="36" spans="1:13" ht="18" customHeight="1">
      <c r="A36" s="25" t="s">
        <v>663</v>
      </c>
      <c r="B36" s="11"/>
      <c r="C36" s="12"/>
      <c r="D36" s="12"/>
      <c r="E36" s="11">
        <f t="shared" si="19"/>
        <v>0</v>
      </c>
      <c r="F36" s="40" t="e">
        <f t="shared" si="1"/>
        <v>#DIV/0!</v>
      </c>
      <c r="G36" s="11">
        <f t="shared" si="20"/>
        <v>200</v>
      </c>
      <c r="H36" s="21">
        <v>100</v>
      </c>
      <c r="I36" s="21"/>
      <c r="J36" s="21"/>
      <c r="K36" s="21">
        <v>100</v>
      </c>
      <c r="L36" s="41" t="e">
        <f t="shared" si="2"/>
        <v>#DIV/0!</v>
      </c>
      <c r="M36" s="5"/>
    </row>
    <row r="37" spans="1:13" ht="18" customHeight="1">
      <c r="A37" s="25" t="s">
        <v>664</v>
      </c>
      <c r="B37" s="11"/>
      <c r="C37" s="12"/>
      <c r="D37" s="12"/>
      <c r="E37" s="11">
        <f t="shared" si="19"/>
        <v>0</v>
      </c>
      <c r="F37" s="40" t="e">
        <f t="shared" si="1"/>
        <v>#DIV/0!</v>
      </c>
      <c r="G37" s="11">
        <f t="shared" si="20"/>
        <v>0</v>
      </c>
      <c r="H37" s="21"/>
      <c r="I37" s="21"/>
      <c r="J37" s="21"/>
      <c r="K37" s="21"/>
      <c r="L37" s="41" t="e">
        <f t="shared" si="2"/>
        <v>#DIV/0!</v>
      </c>
      <c r="M37" s="5"/>
    </row>
    <row r="38" spans="1:13" ht="18" customHeight="1">
      <c r="A38" s="25" t="s">
        <v>665</v>
      </c>
      <c r="B38" s="11"/>
      <c r="C38" s="12"/>
      <c r="D38" s="12"/>
      <c r="E38" s="11">
        <f t="shared" si="19"/>
        <v>0</v>
      </c>
      <c r="F38" s="40" t="e">
        <f t="shared" si="1"/>
        <v>#DIV/0!</v>
      </c>
      <c r="G38" s="11">
        <f t="shared" si="20"/>
        <v>0</v>
      </c>
      <c r="H38" s="21"/>
      <c r="I38" s="21"/>
      <c r="J38" s="21"/>
      <c r="K38" s="21"/>
      <c r="L38" s="41" t="e">
        <f t="shared" si="2"/>
        <v>#DIV/0!</v>
      </c>
      <c r="M38" s="5"/>
    </row>
    <row r="39" spans="1:13" ht="18" customHeight="1">
      <c r="A39" s="25" t="s">
        <v>666</v>
      </c>
      <c r="B39" s="11"/>
      <c r="C39" s="12"/>
      <c r="D39" s="12"/>
      <c r="E39" s="11">
        <f t="shared" si="19"/>
        <v>0</v>
      </c>
      <c r="F39" s="40" t="e">
        <f t="shared" si="1"/>
        <v>#DIV/0!</v>
      </c>
      <c r="G39" s="11">
        <f t="shared" si="20"/>
        <v>0</v>
      </c>
      <c r="H39" s="21"/>
      <c r="I39" s="21"/>
      <c r="J39" s="21"/>
      <c r="K39" s="21"/>
      <c r="L39" s="41" t="e">
        <f t="shared" si="2"/>
        <v>#DIV/0!</v>
      </c>
      <c r="M39" s="5"/>
    </row>
    <row r="40" spans="1:13" ht="18" customHeight="1">
      <c r="A40" s="25" t="s">
        <v>667</v>
      </c>
      <c r="B40" s="26"/>
      <c r="C40" s="12"/>
      <c r="D40" s="12"/>
      <c r="E40" s="11">
        <f t="shared" si="19"/>
        <v>0</v>
      </c>
      <c r="F40" s="40" t="e">
        <f t="shared" si="1"/>
        <v>#DIV/0!</v>
      </c>
      <c r="G40" s="11">
        <f t="shared" si="20"/>
        <v>0</v>
      </c>
      <c r="H40" s="21"/>
      <c r="I40" s="21"/>
      <c r="J40" s="21"/>
      <c r="K40" s="21"/>
      <c r="L40" s="41" t="e">
        <f t="shared" si="2"/>
        <v>#DIV/0!</v>
      </c>
      <c r="M40" s="5"/>
    </row>
    <row r="41" spans="1:13" ht="18" customHeight="1">
      <c r="A41" s="25" t="s">
        <v>668</v>
      </c>
      <c r="B41" s="11"/>
      <c r="C41" s="12"/>
      <c r="D41" s="12"/>
      <c r="E41" s="11">
        <f t="shared" si="19"/>
        <v>0</v>
      </c>
      <c r="F41" s="40" t="e">
        <f t="shared" si="1"/>
        <v>#DIV/0!</v>
      </c>
      <c r="G41" s="11">
        <f t="shared" si="20"/>
        <v>0</v>
      </c>
      <c r="H41" s="21"/>
      <c r="I41" s="21"/>
      <c r="J41" s="21"/>
      <c r="K41" s="21"/>
      <c r="L41" s="41" t="e">
        <f t="shared" si="2"/>
        <v>#DIV/0!</v>
      </c>
      <c r="M41" s="5"/>
    </row>
    <row r="42" spans="1:13" ht="18" customHeight="1">
      <c r="A42" s="25" t="s">
        <v>669</v>
      </c>
      <c r="B42" s="11"/>
      <c r="C42" s="12"/>
      <c r="D42" s="12"/>
      <c r="E42" s="11">
        <f t="shared" si="19"/>
        <v>0</v>
      </c>
      <c r="F42" s="40" t="e">
        <f t="shared" si="1"/>
        <v>#DIV/0!</v>
      </c>
      <c r="G42" s="11">
        <f t="shared" si="20"/>
        <v>742.5</v>
      </c>
      <c r="H42" s="21"/>
      <c r="I42" s="21"/>
      <c r="J42" s="21"/>
      <c r="K42" s="21">
        <v>742.5</v>
      </c>
      <c r="L42" s="41" t="e">
        <f t="shared" si="2"/>
        <v>#DIV/0!</v>
      </c>
      <c r="M42" s="5"/>
    </row>
    <row r="43" spans="1:13" ht="18" customHeight="1">
      <c r="A43" s="25" t="s">
        <v>670</v>
      </c>
      <c r="B43" s="11">
        <f aca="true" t="shared" si="21" ref="B43:K43">SUM(B44:B46)</f>
        <v>0</v>
      </c>
      <c r="C43" s="11">
        <f t="shared" si="21"/>
        <v>0</v>
      </c>
      <c r="D43" s="11">
        <f t="shared" si="21"/>
        <v>0</v>
      </c>
      <c r="E43" s="11">
        <f t="shared" si="21"/>
        <v>0</v>
      </c>
      <c r="F43" s="40" t="e">
        <f t="shared" si="1"/>
        <v>#DIV/0!</v>
      </c>
      <c r="G43" s="11">
        <f t="shared" si="21"/>
        <v>900</v>
      </c>
      <c r="H43" s="11">
        <f t="shared" si="21"/>
        <v>450</v>
      </c>
      <c r="I43" s="11">
        <f t="shared" si="21"/>
        <v>0</v>
      </c>
      <c r="J43" s="11">
        <f t="shared" si="21"/>
        <v>0</v>
      </c>
      <c r="K43" s="11">
        <f t="shared" si="21"/>
        <v>450</v>
      </c>
      <c r="L43" s="41" t="e">
        <f t="shared" si="2"/>
        <v>#DIV/0!</v>
      </c>
      <c r="M43" s="5"/>
    </row>
    <row r="44" spans="1:13" ht="18" customHeight="1">
      <c r="A44" s="25" t="s">
        <v>671</v>
      </c>
      <c r="B44" s="11"/>
      <c r="C44" s="12"/>
      <c r="D44" s="12"/>
      <c r="E44" s="11">
        <f aca="true" t="shared" si="22" ref="E44:E47">C44+D44</f>
        <v>0</v>
      </c>
      <c r="F44" s="40" t="e">
        <f t="shared" si="1"/>
        <v>#DIV/0!</v>
      </c>
      <c r="G44" s="11">
        <f aca="true" t="shared" si="23" ref="G44:G47">SUM(H44:K44)</f>
        <v>0</v>
      </c>
      <c r="H44" s="21"/>
      <c r="I44" s="21"/>
      <c r="J44" s="21"/>
      <c r="K44" s="21"/>
      <c r="L44" s="41" t="e">
        <f t="shared" si="2"/>
        <v>#DIV/0!</v>
      </c>
      <c r="M44" s="5"/>
    </row>
    <row r="45" spans="1:13" ht="18" customHeight="1">
      <c r="A45" s="25" t="s">
        <v>672</v>
      </c>
      <c r="B45" s="11"/>
      <c r="C45" s="12"/>
      <c r="D45" s="12"/>
      <c r="E45" s="11">
        <f t="shared" si="22"/>
        <v>0</v>
      </c>
      <c r="F45" s="40" t="e">
        <f t="shared" si="1"/>
        <v>#DIV/0!</v>
      </c>
      <c r="G45" s="11">
        <f t="shared" si="23"/>
        <v>0</v>
      </c>
      <c r="H45" s="21"/>
      <c r="I45" s="21"/>
      <c r="J45" s="21"/>
      <c r="K45" s="21"/>
      <c r="L45" s="41" t="e">
        <f t="shared" si="2"/>
        <v>#DIV/0!</v>
      </c>
      <c r="M45" s="5"/>
    </row>
    <row r="46" spans="1:13" ht="18" customHeight="1">
      <c r="A46" s="25" t="s">
        <v>673</v>
      </c>
      <c r="B46" s="11"/>
      <c r="C46" s="12"/>
      <c r="D46" s="12"/>
      <c r="E46" s="11">
        <f t="shared" si="22"/>
        <v>0</v>
      </c>
      <c r="F46" s="40" t="e">
        <f t="shared" si="1"/>
        <v>#DIV/0!</v>
      </c>
      <c r="G46" s="11">
        <f t="shared" si="23"/>
        <v>900</v>
      </c>
      <c r="H46" s="21">
        <f>3*600/4</f>
        <v>450</v>
      </c>
      <c r="I46" s="21"/>
      <c r="J46" s="21"/>
      <c r="K46" s="21">
        <f>3*600/4</f>
        <v>450</v>
      </c>
      <c r="L46" s="41" t="e">
        <f t="shared" si="2"/>
        <v>#DIV/0!</v>
      </c>
      <c r="M46" s="5"/>
    </row>
    <row r="47" spans="1:13" ht="18" customHeight="1">
      <c r="A47" s="109" t="s">
        <v>674</v>
      </c>
      <c r="B47" s="110"/>
      <c r="C47" s="112"/>
      <c r="D47" s="112"/>
      <c r="E47" s="11">
        <f t="shared" si="22"/>
        <v>0</v>
      </c>
      <c r="F47" s="40" t="e">
        <f t="shared" si="1"/>
        <v>#DIV/0!</v>
      </c>
      <c r="G47" s="11">
        <f t="shared" si="23"/>
        <v>16956.5</v>
      </c>
      <c r="H47" s="111">
        <f>H5</f>
        <v>3619</v>
      </c>
      <c r="I47" s="112"/>
      <c r="J47" s="112"/>
      <c r="K47" s="111">
        <f>K5</f>
        <v>13337.5</v>
      </c>
      <c r="L47" s="41" t="e">
        <f t="shared" si="2"/>
        <v>#DIV/0!</v>
      </c>
      <c r="M47" s="113">
        <v>44986</v>
      </c>
    </row>
    <row r="48" spans="1:13" ht="12.75">
      <c r="A48" s="25" t="s">
        <v>628</v>
      </c>
      <c r="B48" s="11"/>
      <c r="C48" s="12"/>
      <c r="D48" s="12"/>
      <c r="E48" s="11"/>
      <c r="F48" s="40"/>
      <c r="G48" s="11">
        <f>E5-E47+G5-G47</f>
        <v>0</v>
      </c>
      <c r="H48" s="12"/>
      <c r="I48" s="12"/>
      <c r="J48" s="12"/>
      <c r="K48" s="12"/>
      <c r="L48" s="41"/>
      <c r="M48" s="5"/>
    </row>
    <row r="49" spans="1:13" ht="12.75">
      <c r="A49" s="25"/>
      <c r="B49" s="11"/>
      <c r="C49" s="12"/>
      <c r="D49" s="12"/>
      <c r="E49" s="11"/>
      <c r="F49" s="40"/>
      <c r="G49" s="11"/>
      <c r="H49" s="12"/>
      <c r="I49" s="12"/>
      <c r="J49" s="12"/>
      <c r="K49" s="12"/>
      <c r="L49" s="41"/>
      <c r="M49" s="5"/>
    </row>
    <row r="50" spans="1:13" ht="12.75">
      <c r="A50" s="5"/>
      <c r="B50" s="5"/>
      <c r="C50" s="16"/>
      <c r="D50" s="4" t="s">
        <v>677</v>
      </c>
      <c r="E50" s="5"/>
      <c r="F50" s="5"/>
      <c r="G50" s="5"/>
      <c r="H50" s="16"/>
      <c r="I50" s="4" t="s">
        <v>678</v>
      </c>
      <c r="J50" s="5"/>
      <c r="K50" s="5"/>
      <c r="L50" s="5"/>
      <c r="M50" s="5"/>
    </row>
  </sheetData>
  <sheetProtection/>
  <mergeCells count="6">
    <mergeCell ref="A1:M1"/>
    <mergeCell ref="B3:F3"/>
    <mergeCell ref="G3:K3"/>
    <mergeCell ref="A3:A4"/>
    <mergeCell ref="L3:L4"/>
    <mergeCell ref="M3:M4"/>
  </mergeCells>
  <printOptions/>
  <pageMargins left="1.18" right="0.19" top="0.55" bottom="0.39" header="0.28" footer="0.16"/>
  <pageSetup fitToHeight="1" fitToWidth="1" horizontalDpi="300" verticalDpi="300" orientation="landscape" paperSize="9" scale="76"/>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50"/>
  <sheetViews>
    <sheetView workbookViewId="0" topLeftCell="A1">
      <selection activeCell="A2" sqref="A2"/>
    </sheetView>
  </sheetViews>
  <sheetFormatPr defaultColWidth="9.140625" defaultRowHeight="12.75"/>
  <cols>
    <col min="1" max="1" width="30.28125" style="0" customWidth="1"/>
    <col min="2" max="2" width="13.140625" style="0" customWidth="1"/>
    <col min="3" max="3" width="10.7109375" style="0" customWidth="1"/>
    <col min="4" max="4" width="11.7109375" style="0" customWidth="1"/>
    <col min="5" max="6" width="10.7109375" style="0" customWidth="1"/>
    <col min="7" max="11" width="13.7109375" style="0" customWidth="1"/>
    <col min="12" max="13" width="10.7109375" style="0" customWidth="1"/>
  </cols>
  <sheetData>
    <row r="1" spans="1:13" ht="25.5" customHeight="1">
      <c r="A1" s="105" t="s">
        <v>680</v>
      </c>
      <c r="B1" s="23"/>
      <c r="C1" s="23" t="s">
        <v>598</v>
      </c>
      <c r="D1" s="23" t="s">
        <v>598</v>
      </c>
      <c r="E1" s="23" t="s">
        <v>598</v>
      </c>
      <c r="F1" s="23"/>
      <c r="G1" s="23" t="s">
        <v>598</v>
      </c>
      <c r="H1" s="23" t="s">
        <v>598</v>
      </c>
      <c r="I1" s="23" t="s">
        <v>598</v>
      </c>
      <c r="J1" s="23" t="s">
        <v>598</v>
      </c>
      <c r="K1" s="23" t="s">
        <v>598</v>
      </c>
      <c r="L1" s="23" t="s">
        <v>598</v>
      </c>
      <c r="M1" s="23" t="s">
        <v>598</v>
      </c>
    </row>
    <row r="2" spans="1:13" ht="18" customHeight="1">
      <c r="A2" s="106" t="s">
        <v>364</v>
      </c>
      <c r="B2" s="107"/>
      <c r="C2" s="45"/>
      <c r="D2" s="46"/>
      <c r="E2" s="47"/>
      <c r="F2" s="55"/>
      <c r="G2" s="24" t="s">
        <v>288</v>
      </c>
      <c r="H2" s="5"/>
      <c r="I2" s="5"/>
      <c r="J2" s="5"/>
      <c r="K2" s="5"/>
      <c r="L2" s="16" t="s">
        <v>599</v>
      </c>
      <c r="M2" s="5"/>
    </row>
    <row r="3" spans="1:13" ht="18" customHeight="1">
      <c r="A3" s="18" t="s">
        <v>290</v>
      </c>
      <c r="B3" s="90" t="s">
        <v>366</v>
      </c>
      <c r="C3" s="38"/>
      <c r="D3" s="38"/>
      <c r="E3" s="38"/>
      <c r="F3" s="39"/>
      <c r="G3" s="9" t="s">
        <v>292</v>
      </c>
      <c r="H3" s="9"/>
      <c r="I3" s="9" t="s">
        <v>292</v>
      </c>
      <c r="J3" s="9" t="s">
        <v>292</v>
      </c>
      <c r="K3" s="9" t="s">
        <v>292</v>
      </c>
      <c r="L3" s="9" t="s">
        <v>293</v>
      </c>
      <c r="M3" s="18" t="s">
        <v>33</v>
      </c>
    </row>
    <row r="4" spans="1:13" ht="18" customHeight="1">
      <c r="A4" s="18"/>
      <c r="B4" s="9" t="s">
        <v>294</v>
      </c>
      <c r="C4" s="9" t="s">
        <v>463</v>
      </c>
      <c r="D4" s="9" t="s">
        <v>296</v>
      </c>
      <c r="E4" s="9" t="s">
        <v>464</v>
      </c>
      <c r="F4" s="9" t="s">
        <v>299</v>
      </c>
      <c r="G4" s="9" t="s">
        <v>314</v>
      </c>
      <c r="H4" s="9" t="s">
        <v>324</v>
      </c>
      <c r="I4" s="9" t="s">
        <v>331</v>
      </c>
      <c r="J4" s="9" t="s">
        <v>334</v>
      </c>
      <c r="K4" s="9" t="s">
        <v>336</v>
      </c>
      <c r="L4" s="9" t="s">
        <v>293</v>
      </c>
      <c r="M4" s="18" t="s">
        <v>33</v>
      </c>
    </row>
    <row r="5" spans="1:13" ht="18" customHeight="1">
      <c r="A5" s="25" t="s">
        <v>632</v>
      </c>
      <c r="B5" s="11">
        <f aca="true" t="shared" si="0" ref="B5:K5">B6+B32+B43</f>
        <v>0</v>
      </c>
      <c r="C5" s="11">
        <f t="shared" si="0"/>
        <v>0</v>
      </c>
      <c r="D5" s="11">
        <f t="shared" si="0"/>
        <v>2600</v>
      </c>
      <c r="E5" s="11">
        <f t="shared" si="0"/>
        <v>2600</v>
      </c>
      <c r="F5" s="40" t="e">
        <f aca="true" t="shared" si="1" ref="F5:F47">E5/B5</f>
        <v>#DIV/0!</v>
      </c>
      <c r="G5" s="11">
        <f t="shared" si="0"/>
        <v>22446.08</v>
      </c>
      <c r="H5" s="11">
        <f t="shared" si="0"/>
        <v>5533.84</v>
      </c>
      <c r="I5" s="11">
        <f t="shared" si="0"/>
        <v>0</v>
      </c>
      <c r="J5" s="11">
        <f t="shared" si="0"/>
        <v>0</v>
      </c>
      <c r="K5" s="11">
        <f t="shared" si="0"/>
        <v>16912.239999999998</v>
      </c>
      <c r="L5" s="41">
        <f aca="true" t="shared" si="2" ref="L5:L47">G5/E5</f>
        <v>8.633107692307693</v>
      </c>
      <c r="M5" s="5"/>
    </row>
    <row r="6" spans="1:13" ht="18" customHeight="1">
      <c r="A6" s="25" t="s">
        <v>633</v>
      </c>
      <c r="B6" s="11">
        <f aca="true" t="shared" si="3" ref="B6:K6">B7+B26+B27</f>
        <v>0</v>
      </c>
      <c r="C6" s="11">
        <f t="shared" si="3"/>
        <v>0</v>
      </c>
      <c r="D6" s="11">
        <f t="shared" si="3"/>
        <v>2600</v>
      </c>
      <c r="E6" s="11">
        <f t="shared" si="3"/>
        <v>2600</v>
      </c>
      <c r="F6" s="40" t="e">
        <f t="shared" si="1"/>
        <v>#DIV/0!</v>
      </c>
      <c r="G6" s="11">
        <f t="shared" si="3"/>
        <v>20603.58</v>
      </c>
      <c r="H6" s="11">
        <f t="shared" si="3"/>
        <v>4983.84</v>
      </c>
      <c r="I6" s="11">
        <f t="shared" si="3"/>
        <v>0</v>
      </c>
      <c r="J6" s="11">
        <f t="shared" si="3"/>
        <v>0</v>
      </c>
      <c r="K6" s="11">
        <f t="shared" si="3"/>
        <v>15619.74</v>
      </c>
      <c r="L6" s="41">
        <f t="shared" si="2"/>
        <v>7.924453846153847</v>
      </c>
      <c r="M6" s="5"/>
    </row>
    <row r="7" spans="1:13" ht="18" customHeight="1">
      <c r="A7" s="72" t="s">
        <v>634</v>
      </c>
      <c r="B7" s="11">
        <f aca="true" t="shared" si="4" ref="B7:K7">B8+B16+B20+B23+B24+B25</f>
        <v>0</v>
      </c>
      <c r="C7" s="11">
        <f t="shared" si="4"/>
        <v>0</v>
      </c>
      <c r="D7" s="11">
        <f t="shared" si="4"/>
        <v>0</v>
      </c>
      <c r="E7" s="11">
        <f t="shared" si="4"/>
        <v>0</v>
      </c>
      <c r="F7" s="40" t="e">
        <f t="shared" si="1"/>
        <v>#DIV/0!</v>
      </c>
      <c r="G7" s="11">
        <f t="shared" si="4"/>
        <v>0</v>
      </c>
      <c r="H7" s="11">
        <f t="shared" si="4"/>
        <v>0</v>
      </c>
      <c r="I7" s="11">
        <f t="shared" si="4"/>
        <v>0</v>
      </c>
      <c r="J7" s="11">
        <f t="shared" si="4"/>
        <v>0</v>
      </c>
      <c r="K7" s="11">
        <f t="shared" si="4"/>
        <v>0</v>
      </c>
      <c r="L7" s="41" t="e">
        <f t="shared" si="2"/>
        <v>#DIV/0!</v>
      </c>
      <c r="M7" s="5"/>
    </row>
    <row r="8" spans="1:13" ht="18" customHeight="1">
      <c r="A8" s="72" t="s">
        <v>635</v>
      </c>
      <c r="B8" s="11">
        <f aca="true" t="shared" si="5" ref="B8:K8">B9+B10+B14+B15</f>
        <v>0</v>
      </c>
      <c r="C8" s="11">
        <f t="shared" si="5"/>
        <v>0</v>
      </c>
      <c r="D8" s="11">
        <f t="shared" si="5"/>
        <v>0</v>
      </c>
      <c r="E8" s="11">
        <f t="shared" si="5"/>
        <v>0</v>
      </c>
      <c r="F8" s="40" t="e">
        <f t="shared" si="1"/>
        <v>#DIV/0!</v>
      </c>
      <c r="G8" s="11">
        <f t="shared" si="5"/>
        <v>0</v>
      </c>
      <c r="H8" s="11">
        <f t="shared" si="5"/>
        <v>0</v>
      </c>
      <c r="I8" s="11">
        <f t="shared" si="5"/>
        <v>0</v>
      </c>
      <c r="J8" s="11">
        <f t="shared" si="5"/>
        <v>0</v>
      </c>
      <c r="K8" s="11">
        <f t="shared" si="5"/>
        <v>0</v>
      </c>
      <c r="L8" s="41" t="e">
        <f t="shared" si="2"/>
        <v>#DIV/0!</v>
      </c>
      <c r="M8" s="5"/>
    </row>
    <row r="9" spans="1:13" ht="18" customHeight="1">
      <c r="A9" s="72" t="s">
        <v>636</v>
      </c>
      <c r="B9" s="11"/>
      <c r="C9" s="15"/>
      <c r="D9" s="12"/>
      <c r="E9" s="11">
        <f aca="true" t="shared" si="6" ref="E9:E15">C9+D9</f>
        <v>0</v>
      </c>
      <c r="F9" s="40" t="e">
        <f t="shared" si="1"/>
        <v>#DIV/0!</v>
      </c>
      <c r="G9" s="11">
        <f aca="true" t="shared" si="7" ref="G9:G15">SUM(H9:K9)</f>
        <v>0</v>
      </c>
      <c r="H9" s="12"/>
      <c r="I9" s="12"/>
      <c r="J9" s="12"/>
      <c r="K9" s="12"/>
      <c r="L9" s="41" t="e">
        <f t="shared" si="2"/>
        <v>#DIV/0!</v>
      </c>
      <c r="M9" s="5"/>
    </row>
    <row r="10" spans="1:13" ht="18" customHeight="1">
      <c r="A10" s="72" t="s">
        <v>637</v>
      </c>
      <c r="B10" s="11">
        <f aca="true" t="shared" si="8" ref="B10:K10">SUM(B11:B13)</f>
        <v>0</v>
      </c>
      <c r="C10" s="11">
        <f t="shared" si="8"/>
        <v>0</v>
      </c>
      <c r="D10" s="11">
        <f t="shared" si="8"/>
        <v>0</v>
      </c>
      <c r="E10" s="11">
        <f t="shared" si="8"/>
        <v>0</v>
      </c>
      <c r="F10" s="40" t="e">
        <f t="shared" si="1"/>
        <v>#DIV/0!</v>
      </c>
      <c r="G10" s="11">
        <f t="shared" si="8"/>
        <v>0</v>
      </c>
      <c r="H10" s="11">
        <f t="shared" si="8"/>
        <v>0</v>
      </c>
      <c r="I10" s="11">
        <f t="shared" si="8"/>
        <v>0</v>
      </c>
      <c r="J10" s="11">
        <f t="shared" si="8"/>
        <v>0</v>
      </c>
      <c r="K10" s="11">
        <f t="shared" si="8"/>
        <v>0</v>
      </c>
      <c r="L10" s="41" t="e">
        <f t="shared" si="2"/>
        <v>#DIV/0!</v>
      </c>
      <c r="M10" s="5"/>
    </row>
    <row r="11" spans="1:13" ht="18" customHeight="1">
      <c r="A11" s="75" t="s">
        <v>638</v>
      </c>
      <c r="B11" s="11"/>
      <c r="C11" s="15"/>
      <c r="D11" s="12"/>
      <c r="E11" s="11">
        <f t="shared" si="6"/>
        <v>0</v>
      </c>
      <c r="F11" s="40" t="e">
        <f t="shared" si="1"/>
        <v>#DIV/0!</v>
      </c>
      <c r="G11" s="11">
        <f t="shared" si="7"/>
        <v>0</v>
      </c>
      <c r="H11" s="12"/>
      <c r="I11" s="12"/>
      <c r="J11" s="12"/>
      <c r="K11" s="12"/>
      <c r="L11" s="41" t="e">
        <f t="shared" si="2"/>
        <v>#DIV/0!</v>
      </c>
      <c r="M11" s="5"/>
    </row>
    <row r="12" spans="1:13" ht="18" customHeight="1">
      <c r="A12" s="75" t="s">
        <v>639</v>
      </c>
      <c r="B12" s="11"/>
      <c r="C12" s="15"/>
      <c r="D12" s="12"/>
      <c r="E12" s="11">
        <f t="shared" si="6"/>
        <v>0</v>
      </c>
      <c r="F12" s="40" t="e">
        <f t="shared" si="1"/>
        <v>#DIV/0!</v>
      </c>
      <c r="G12" s="11">
        <f t="shared" si="7"/>
        <v>0</v>
      </c>
      <c r="H12" s="12"/>
      <c r="I12" s="12"/>
      <c r="J12" s="12"/>
      <c r="K12" s="12"/>
      <c r="L12" s="41" t="e">
        <f t="shared" si="2"/>
        <v>#DIV/0!</v>
      </c>
      <c r="M12" s="5"/>
    </row>
    <row r="13" spans="1:13" ht="18" customHeight="1">
      <c r="A13" s="75" t="s">
        <v>640</v>
      </c>
      <c r="B13" s="11"/>
      <c r="C13" s="15"/>
      <c r="D13" s="12"/>
      <c r="E13" s="11">
        <f t="shared" si="6"/>
        <v>0</v>
      </c>
      <c r="F13" s="40" t="e">
        <f t="shared" si="1"/>
        <v>#DIV/0!</v>
      </c>
      <c r="G13" s="11">
        <f t="shared" si="7"/>
        <v>0</v>
      </c>
      <c r="H13" s="21"/>
      <c r="I13" s="21"/>
      <c r="J13" s="21"/>
      <c r="K13" s="21"/>
      <c r="L13" s="41" t="e">
        <f t="shared" si="2"/>
        <v>#DIV/0!</v>
      </c>
      <c r="M13" s="5"/>
    </row>
    <row r="14" spans="1:13" ht="18" customHeight="1">
      <c r="A14" s="72" t="s">
        <v>641</v>
      </c>
      <c r="B14" s="11"/>
      <c r="C14" s="15"/>
      <c r="D14" s="12"/>
      <c r="E14" s="11">
        <f t="shared" si="6"/>
        <v>0</v>
      </c>
      <c r="F14" s="40" t="e">
        <f t="shared" si="1"/>
        <v>#DIV/0!</v>
      </c>
      <c r="G14" s="11">
        <f t="shared" si="7"/>
        <v>0</v>
      </c>
      <c r="H14" s="21"/>
      <c r="I14" s="21"/>
      <c r="J14" s="21"/>
      <c r="K14" s="21"/>
      <c r="L14" s="41" t="e">
        <f t="shared" si="2"/>
        <v>#DIV/0!</v>
      </c>
      <c r="M14" s="5"/>
    </row>
    <row r="15" spans="1:13" ht="18" customHeight="1">
      <c r="A15" s="72" t="s">
        <v>642</v>
      </c>
      <c r="B15" s="11"/>
      <c r="C15" s="15"/>
      <c r="D15" s="12"/>
      <c r="E15" s="11">
        <f t="shared" si="6"/>
        <v>0</v>
      </c>
      <c r="F15" s="40" t="e">
        <f t="shared" si="1"/>
        <v>#DIV/0!</v>
      </c>
      <c r="G15" s="11">
        <f t="shared" si="7"/>
        <v>0</v>
      </c>
      <c r="H15" s="21"/>
      <c r="I15" s="21"/>
      <c r="J15" s="21"/>
      <c r="K15" s="21"/>
      <c r="L15" s="41" t="e">
        <f t="shared" si="2"/>
        <v>#DIV/0!</v>
      </c>
      <c r="M15" s="5"/>
    </row>
    <row r="16" spans="1:13" ht="18" customHeight="1">
      <c r="A16" s="72" t="s">
        <v>643</v>
      </c>
      <c r="B16" s="11">
        <f aca="true" t="shared" si="9" ref="B16:K16">SUM(B17:B19)</f>
        <v>0</v>
      </c>
      <c r="C16" s="11">
        <f t="shared" si="9"/>
        <v>0</v>
      </c>
      <c r="D16" s="11">
        <f t="shared" si="9"/>
        <v>0</v>
      </c>
      <c r="E16" s="11">
        <f t="shared" si="9"/>
        <v>0</v>
      </c>
      <c r="F16" s="40" t="e">
        <f t="shared" si="1"/>
        <v>#DIV/0!</v>
      </c>
      <c r="G16" s="11">
        <f t="shared" si="9"/>
        <v>0</v>
      </c>
      <c r="H16" s="11">
        <f t="shared" si="9"/>
        <v>0</v>
      </c>
      <c r="I16" s="11">
        <f t="shared" si="9"/>
        <v>0</v>
      </c>
      <c r="J16" s="11">
        <f t="shared" si="9"/>
        <v>0</v>
      </c>
      <c r="K16" s="11">
        <f t="shared" si="9"/>
        <v>0</v>
      </c>
      <c r="L16" s="41" t="e">
        <f t="shared" si="2"/>
        <v>#DIV/0!</v>
      </c>
      <c r="M16" s="5"/>
    </row>
    <row r="17" spans="1:13" ht="18" customHeight="1">
      <c r="A17" s="72" t="s">
        <v>644</v>
      </c>
      <c r="B17" s="11"/>
      <c r="C17" s="15"/>
      <c r="D17" s="12"/>
      <c r="E17" s="11">
        <f aca="true" t="shared" si="10" ref="E17:E19">C17+D17</f>
        <v>0</v>
      </c>
      <c r="F17" s="40" t="e">
        <f t="shared" si="1"/>
        <v>#DIV/0!</v>
      </c>
      <c r="G17" s="11">
        <f aca="true" t="shared" si="11" ref="G17:G19">SUM(H17:K17)</f>
        <v>0</v>
      </c>
      <c r="H17" s="21"/>
      <c r="I17" s="21"/>
      <c r="J17" s="21"/>
      <c r="K17" s="21"/>
      <c r="L17" s="41" t="e">
        <f t="shared" si="2"/>
        <v>#DIV/0!</v>
      </c>
      <c r="M17" s="5"/>
    </row>
    <row r="18" spans="1:13" ht="18" customHeight="1">
      <c r="A18" s="72" t="s">
        <v>645</v>
      </c>
      <c r="B18" s="11"/>
      <c r="C18" s="15"/>
      <c r="D18" s="12"/>
      <c r="E18" s="11">
        <f t="shared" si="10"/>
        <v>0</v>
      </c>
      <c r="F18" s="40" t="e">
        <f t="shared" si="1"/>
        <v>#DIV/0!</v>
      </c>
      <c r="G18" s="11">
        <f t="shared" si="11"/>
        <v>0</v>
      </c>
      <c r="H18" s="21"/>
      <c r="I18" s="21"/>
      <c r="J18" s="21"/>
      <c r="K18" s="21"/>
      <c r="L18" s="41" t="e">
        <f t="shared" si="2"/>
        <v>#DIV/0!</v>
      </c>
      <c r="M18" s="5"/>
    </row>
    <row r="19" spans="1:13" ht="18" customHeight="1">
      <c r="A19" s="72" t="s">
        <v>646</v>
      </c>
      <c r="B19" s="11"/>
      <c r="C19" s="15"/>
      <c r="D19" s="12"/>
      <c r="E19" s="11">
        <f t="shared" si="10"/>
        <v>0</v>
      </c>
      <c r="F19" s="40" t="e">
        <f t="shared" si="1"/>
        <v>#DIV/0!</v>
      </c>
      <c r="G19" s="11">
        <f t="shared" si="11"/>
        <v>0</v>
      </c>
      <c r="H19" s="21"/>
      <c r="I19" s="21"/>
      <c r="J19" s="21"/>
      <c r="K19" s="21"/>
      <c r="L19" s="41" t="e">
        <f t="shared" si="2"/>
        <v>#DIV/0!</v>
      </c>
      <c r="M19" s="5"/>
    </row>
    <row r="20" spans="1:13" ht="18" customHeight="1">
      <c r="A20" s="72" t="s">
        <v>647</v>
      </c>
      <c r="B20" s="11">
        <f aca="true" t="shared" si="12" ref="B20:K20">SUM(B21:B22)</f>
        <v>0</v>
      </c>
      <c r="C20" s="11">
        <f t="shared" si="12"/>
        <v>0</v>
      </c>
      <c r="D20" s="11">
        <f t="shared" si="12"/>
        <v>0</v>
      </c>
      <c r="E20" s="11">
        <f t="shared" si="12"/>
        <v>0</v>
      </c>
      <c r="F20" s="40" t="e">
        <f t="shared" si="1"/>
        <v>#DIV/0!</v>
      </c>
      <c r="G20" s="11">
        <f t="shared" si="12"/>
        <v>0</v>
      </c>
      <c r="H20" s="11">
        <f t="shared" si="12"/>
        <v>0</v>
      </c>
      <c r="I20" s="11">
        <f t="shared" si="12"/>
        <v>0</v>
      </c>
      <c r="J20" s="11">
        <f t="shared" si="12"/>
        <v>0</v>
      </c>
      <c r="K20" s="11">
        <f t="shared" si="12"/>
        <v>0</v>
      </c>
      <c r="L20" s="41" t="e">
        <f t="shared" si="2"/>
        <v>#DIV/0!</v>
      </c>
      <c r="M20" s="5"/>
    </row>
    <row r="21" spans="1:13" ht="18" customHeight="1">
      <c r="A21" s="72" t="s">
        <v>648</v>
      </c>
      <c r="B21" s="11"/>
      <c r="C21" s="15"/>
      <c r="D21" s="12"/>
      <c r="E21" s="11">
        <f aca="true" t="shared" si="13" ref="E21:E26">C21+D21</f>
        <v>0</v>
      </c>
      <c r="F21" s="40" t="e">
        <f t="shared" si="1"/>
        <v>#DIV/0!</v>
      </c>
      <c r="G21" s="11">
        <f aca="true" t="shared" si="14" ref="G21:G26">SUM(H21:K21)</f>
        <v>0</v>
      </c>
      <c r="H21" s="21"/>
      <c r="I21" s="21"/>
      <c r="J21" s="21"/>
      <c r="K21" s="21"/>
      <c r="L21" s="41" t="e">
        <f t="shared" si="2"/>
        <v>#DIV/0!</v>
      </c>
      <c r="M21" s="5"/>
    </row>
    <row r="22" spans="1:13" ht="18" customHeight="1">
      <c r="A22" s="72" t="s">
        <v>649</v>
      </c>
      <c r="B22" s="11"/>
      <c r="C22" s="15"/>
      <c r="D22" s="12"/>
      <c r="E22" s="11">
        <f t="shared" si="13"/>
        <v>0</v>
      </c>
      <c r="F22" s="40" t="e">
        <f t="shared" si="1"/>
        <v>#DIV/0!</v>
      </c>
      <c r="G22" s="11">
        <f t="shared" si="14"/>
        <v>0</v>
      </c>
      <c r="H22" s="21"/>
      <c r="I22" s="21"/>
      <c r="J22" s="21"/>
      <c r="K22" s="21"/>
      <c r="L22" s="41" t="e">
        <f t="shared" si="2"/>
        <v>#DIV/0!</v>
      </c>
      <c r="M22" s="5"/>
    </row>
    <row r="23" spans="1:13" ht="18" customHeight="1">
      <c r="A23" s="72" t="s">
        <v>650</v>
      </c>
      <c r="B23" s="11"/>
      <c r="C23" s="15"/>
      <c r="D23" s="12"/>
      <c r="E23" s="11">
        <f t="shared" si="13"/>
        <v>0</v>
      </c>
      <c r="F23" s="40" t="e">
        <f t="shared" si="1"/>
        <v>#DIV/0!</v>
      </c>
      <c r="G23" s="11">
        <f t="shared" si="14"/>
        <v>0</v>
      </c>
      <c r="H23" s="21"/>
      <c r="I23" s="21"/>
      <c r="J23" s="21"/>
      <c r="K23" s="21"/>
      <c r="L23" s="41" t="e">
        <f t="shared" si="2"/>
        <v>#DIV/0!</v>
      </c>
      <c r="M23" s="5"/>
    </row>
    <row r="24" spans="1:13" ht="18" customHeight="1">
      <c r="A24" s="72" t="s">
        <v>651</v>
      </c>
      <c r="B24" s="11"/>
      <c r="C24" s="15"/>
      <c r="D24" s="12"/>
      <c r="E24" s="11">
        <f t="shared" si="13"/>
        <v>0</v>
      </c>
      <c r="F24" s="40" t="e">
        <f t="shared" si="1"/>
        <v>#DIV/0!</v>
      </c>
      <c r="G24" s="11">
        <f t="shared" si="14"/>
        <v>0</v>
      </c>
      <c r="H24" s="21"/>
      <c r="I24" s="21"/>
      <c r="J24" s="21"/>
      <c r="K24" s="21"/>
      <c r="L24" s="41" t="e">
        <f t="shared" si="2"/>
        <v>#DIV/0!</v>
      </c>
      <c r="M24" s="5"/>
    </row>
    <row r="25" spans="1:13" ht="18" customHeight="1">
      <c r="A25" s="72" t="s">
        <v>652</v>
      </c>
      <c r="B25" s="11"/>
      <c r="C25" s="15"/>
      <c r="D25" s="12"/>
      <c r="E25" s="11">
        <f t="shared" si="13"/>
        <v>0</v>
      </c>
      <c r="F25" s="40" t="e">
        <f t="shared" si="1"/>
        <v>#DIV/0!</v>
      </c>
      <c r="G25" s="11">
        <f t="shared" si="14"/>
        <v>0</v>
      </c>
      <c r="H25" s="21"/>
      <c r="I25" s="21"/>
      <c r="J25" s="21"/>
      <c r="K25" s="21"/>
      <c r="L25" s="41" t="e">
        <f t="shared" si="2"/>
        <v>#DIV/0!</v>
      </c>
      <c r="M25" s="5"/>
    </row>
    <row r="26" spans="1:13" ht="18" customHeight="1">
      <c r="A26" s="108" t="s">
        <v>653</v>
      </c>
      <c r="B26" s="11"/>
      <c r="C26" s="15"/>
      <c r="D26" s="12"/>
      <c r="E26" s="11">
        <f t="shared" si="13"/>
        <v>0</v>
      </c>
      <c r="F26" s="40" t="e">
        <f t="shared" si="1"/>
        <v>#DIV/0!</v>
      </c>
      <c r="G26" s="11">
        <f t="shared" si="14"/>
        <v>5383.98</v>
      </c>
      <c r="H26" s="21">
        <v>2904.84</v>
      </c>
      <c r="I26" s="21"/>
      <c r="J26" s="21"/>
      <c r="K26" s="21">
        <v>2479.14</v>
      </c>
      <c r="L26" s="41" t="e">
        <f t="shared" si="2"/>
        <v>#DIV/0!</v>
      </c>
      <c r="M26" s="5"/>
    </row>
    <row r="27" spans="1:13" ht="18" customHeight="1">
      <c r="A27" s="108" t="s">
        <v>654</v>
      </c>
      <c r="B27" s="11">
        <f aca="true" t="shared" si="15" ref="B27:K27">SUM(B28:B31)</f>
        <v>0</v>
      </c>
      <c r="C27" s="11">
        <f t="shared" si="15"/>
        <v>0</v>
      </c>
      <c r="D27" s="11">
        <f t="shared" si="15"/>
        <v>2600</v>
      </c>
      <c r="E27" s="11">
        <f t="shared" si="15"/>
        <v>2600</v>
      </c>
      <c r="F27" s="40" t="e">
        <f t="shared" si="1"/>
        <v>#DIV/0!</v>
      </c>
      <c r="G27" s="11">
        <f t="shared" si="15"/>
        <v>15219.6</v>
      </c>
      <c r="H27" s="11">
        <f t="shared" si="15"/>
        <v>2079</v>
      </c>
      <c r="I27" s="11">
        <f t="shared" si="15"/>
        <v>0</v>
      </c>
      <c r="J27" s="11">
        <f t="shared" si="15"/>
        <v>0</v>
      </c>
      <c r="K27" s="11">
        <f t="shared" si="15"/>
        <v>13140.6</v>
      </c>
      <c r="L27" s="41">
        <f t="shared" si="2"/>
        <v>5.853692307692308</v>
      </c>
      <c r="M27" s="5"/>
    </row>
    <row r="28" spans="1:13" ht="18" customHeight="1">
      <c r="A28" s="108" t="s">
        <v>655</v>
      </c>
      <c r="B28" s="11"/>
      <c r="C28" s="15"/>
      <c r="D28" s="21">
        <v>2600</v>
      </c>
      <c r="E28" s="11">
        <f aca="true" t="shared" si="16" ref="E28:E31">C28+D28</f>
        <v>2600</v>
      </c>
      <c r="F28" s="40" t="e">
        <f t="shared" si="1"/>
        <v>#DIV/0!</v>
      </c>
      <c r="G28" s="11">
        <f aca="true" t="shared" si="17" ref="G28:G31">SUM(H28:K28)</f>
        <v>2700</v>
      </c>
      <c r="H28" s="21"/>
      <c r="I28" s="21"/>
      <c r="J28" s="21"/>
      <c r="K28" s="21">
        <v>2700</v>
      </c>
      <c r="L28" s="41">
        <f t="shared" si="2"/>
        <v>1.0384615384615385</v>
      </c>
      <c r="M28" s="5"/>
    </row>
    <row r="29" spans="1:13" ht="18" customHeight="1">
      <c r="A29" s="108" t="s">
        <v>656</v>
      </c>
      <c r="B29" s="11"/>
      <c r="C29" s="15"/>
      <c r="D29" s="12"/>
      <c r="E29" s="11">
        <f t="shared" si="16"/>
        <v>0</v>
      </c>
      <c r="F29" s="40" t="e">
        <f t="shared" si="1"/>
        <v>#DIV/0!</v>
      </c>
      <c r="G29" s="11">
        <f t="shared" si="17"/>
        <v>6135</v>
      </c>
      <c r="H29" s="21">
        <v>1260</v>
      </c>
      <c r="I29" s="21"/>
      <c r="J29" s="21"/>
      <c r="K29" s="21">
        <v>4875</v>
      </c>
      <c r="L29" s="41" t="e">
        <f t="shared" si="2"/>
        <v>#DIV/0!</v>
      </c>
      <c r="M29" s="5"/>
    </row>
    <row r="30" spans="1:13" ht="18" customHeight="1">
      <c r="A30" s="108" t="s">
        <v>657</v>
      </c>
      <c r="B30" s="11"/>
      <c r="C30" s="15"/>
      <c r="D30" s="12"/>
      <c r="E30" s="11">
        <f t="shared" si="16"/>
        <v>0</v>
      </c>
      <c r="F30" s="40" t="e">
        <f t="shared" si="1"/>
        <v>#DIV/0!</v>
      </c>
      <c r="G30" s="11">
        <f t="shared" si="17"/>
        <v>1260</v>
      </c>
      <c r="H30" s="21">
        <v>630</v>
      </c>
      <c r="I30" s="21"/>
      <c r="J30" s="21"/>
      <c r="K30" s="21">
        <v>630</v>
      </c>
      <c r="L30" s="41" t="e">
        <f t="shared" si="2"/>
        <v>#DIV/0!</v>
      </c>
      <c r="M30" s="5"/>
    </row>
    <row r="31" spans="1:13" ht="18" customHeight="1">
      <c r="A31" s="108" t="s">
        <v>658</v>
      </c>
      <c r="B31" s="11"/>
      <c r="C31" s="15"/>
      <c r="D31" s="12"/>
      <c r="E31" s="11">
        <f t="shared" si="16"/>
        <v>0</v>
      </c>
      <c r="F31" s="40" t="e">
        <f t="shared" si="1"/>
        <v>#DIV/0!</v>
      </c>
      <c r="G31" s="11">
        <f t="shared" si="17"/>
        <v>5124.6</v>
      </c>
      <c r="H31" s="21">
        <v>189</v>
      </c>
      <c r="I31" s="21"/>
      <c r="J31" s="21"/>
      <c r="K31" s="21">
        <v>4935.6</v>
      </c>
      <c r="L31" s="41" t="e">
        <f t="shared" si="2"/>
        <v>#DIV/0!</v>
      </c>
      <c r="M31" s="5"/>
    </row>
    <row r="32" spans="1:13" ht="18" customHeight="1">
      <c r="A32" s="25" t="s">
        <v>659</v>
      </c>
      <c r="B32" s="26">
        <f aca="true" t="shared" si="18" ref="B32:K32">SUM(B33:B42)</f>
        <v>0</v>
      </c>
      <c r="C32" s="26">
        <f t="shared" si="18"/>
        <v>0</v>
      </c>
      <c r="D32" s="26">
        <f t="shared" si="18"/>
        <v>0</v>
      </c>
      <c r="E32" s="26">
        <f t="shared" si="18"/>
        <v>0</v>
      </c>
      <c r="F32" s="40" t="e">
        <f t="shared" si="1"/>
        <v>#DIV/0!</v>
      </c>
      <c r="G32" s="26">
        <f t="shared" si="18"/>
        <v>942.5</v>
      </c>
      <c r="H32" s="26">
        <f t="shared" si="18"/>
        <v>100</v>
      </c>
      <c r="I32" s="26">
        <f t="shared" si="18"/>
        <v>0</v>
      </c>
      <c r="J32" s="26">
        <f t="shared" si="18"/>
        <v>0</v>
      </c>
      <c r="K32" s="26">
        <f t="shared" si="18"/>
        <v>842.5</v>
      </c>
      <c r="L32" s="41" t="e">
        <f t="shared" si="2"/>
        <v>#DIV/0!</v>
      </c>
      <c r="M32" s="5"/>
    </row>
    <row r="33" spans="1:13" ht="18" customHeight="1">
      <c r="A33" s="25" t="s">
        <v>660</v>
      </c>
      <c r="B33" s="11"/>
      <c r="C33" s="12"/>
      <c r="D33" s="12"/>
      <c r="E33" s="11">
        <f aca="true" t="shared" si="19" ref="E33:E42">C33+D33</f>
        <v>0</v>
      </c>
      <c r="F33" s="40" t="e">
        <f t="shared" si="1"/>
        <v>#DIV/0!</v>
      </c>
      <c r="G33" s="11">
        <f aca="true" t="shared" si="20" ref="G33:G42">SUM(H33:K33)</f>
        <v>0</v>
      </c>
      <c r="H33" s="21"/>
      <c r="I33" s="21"/>
      <c r="J33" s="21"/>
      <c r="K33" s="21"/>
      <c r="L33" s="41" t="e">
        <f t="shared" si="2"/>
        <v>#DIV/0!</v>
      </c>
      <c r="M33" s="5"/>
    </row>
    <row r="34" spans="1:13" ht="18" customHeight="1">
      <c r="A34" s="25" t="s">
        <v>661</v>
      </c>
      <c r="B34" s="11"/>
      <c r="C34" s="12"/>
      <c r="D34" s="12"/>
      <c r="E34" s="11">
        <f t="shared" si="19"/>
        <v>0</v>
      </c>
      <c r="F34" s="40" t="e">
        <f t="shared" si="1"/>
        <v>#DIV/0!</v>
      </c>
      <c r="G34" s="11">
        <f t="shared" si="20"/>
        <v>0</v>
      </c>
      <c r="H34" s="21"/>
      <c r="I34" s="21"/>
      <c r="J34" s="21"/>
      <c r="K34" s="21"/>
      <c r="L34" s="41" t="e">
        <f t="shared" si="2"/>
        <v>#DIV/0!</v>
      </c>
      <c r="M34" s="5"/>
    </row>
    <row r="35" spans="1:13" ht="18" customHeight="1">
      <c r="A35" s="25" t="s">
        <v>662</v>
      </c>
      <c r="B35" s="11"/>
      <c r="C35" s="12"/>
      <c r="D35" s="12"/>
      <c r="E35" s="11">
        <f t="shared" si="19"/>
        <v>0</v>
      </c>
      <c r="F35" s="40" t="e">
        <f t="shared" si="1"/>
        <v>#DIV/0!</v>
      </c>
      <c r="G35" s="11">
        <f t="shared" si="20"/>
        <v>0</v>
      </c>
      <c r="H35" s="21"/>
      <c r="I35" s="21"/>
      <c r="J35" s="21"/>
      <c r="K35" s="21"/>
      <c r="L35" s="41" t="e">
        <f t="shared" si="2"/>
        <v>#DIV/0!</v>
      </c>
      <c r="M35" s="5"/>
    </row>
    <row r="36" spans="1:13" ht="18" customHeight="1">
      <c r="A36" s="25" t="s">
        <v>663</v>
      </c>
      <c r="B36" s="11"/>
      <c r="C36" s="12"/>
      <c r="D36" s="12"/>
      <c r="E36" s="11">
        <f t="shared" si="19"/>
        <v>0</v>
      </c>
      <c r="F36" s="40" t="e">
        <f t="shared" si="1"/>
        <v>#DIV/0!</v>
      </c>
      <c r="G36" s="11">
        <f t="shared" si="20"/>
        <v>200</v>
      </c>
      <c r="H36" s="21">
        <v>100</v>
      </c>
      <c r="I36" s="21"/>
      <c r="J36" s="21"/>
      <c r="K36" s="21">
        <v>100</v>
      </c>
      <c r="L36" s="41" t="e">
        <f t="shared" si="2"/>
        <v>#DIV/0!</v>
      </c>
      <c r="M36" s="5"/>
    </row>
    <row r="37" spans="1:13" ht="18" customHeight="1">
      <c r="A37" s="25" t="s">
        <v>664</v>
      </c>
      <c r="B37" s="11"/>
      <c r="C37" s="12"/>
      <c r="D37" s="12"/>
      <c r="E37" s="11">
        <f t="shared" si="19"/>
        <v>0</v>
      </c>
      <c r="F37" s="40" t="e">
        <f t="shared" si="1"/>
        <v>#DIV/0!</v>
      </c>
      <c r="G37" s="11">
        <f t="shared" si="20"/>
        <v>0</v>
      </c>
      <c r="H37" s="21"/>
      <c r="I37" s="21"/>
      <c r="J37" s="21"/>
      <c r="K37" s="21"/>
      <c r="L37" s="41" t="e">
        <f t="shared" si="2"/>
        <v>#DIV/0!</v>
      </c>
      <c r="M37" s="5"/>
    </row>
    <row r="38" spans="1:13" ht="18" customHeight="1">
      <c r="A38" s="25" t="s">
        <v>665</v>
      </c>
      <c r="B38" s="11"/>
      <c r="C38" s="12"/>
      <c r="D38" s="12"/>
      <c r="E38" s="11">
        <f t="shared" si="19"/>
        <v>0</v>
      </c>
      <c r="F38" s="40" t="e">
        <f t="shared" si="1"/>
        <v>#DIV/0!</v>
      </c>
      <c r="G38" s="11">
        <f t="shared" si="20"/>
        <v>0</v>
      </c>
      <c r="H38" s="21"/>
      <c r="I38" s="21"/>
      <c r="J38" s="21"/>
      <c r="K38" s="21"/>
      <c r="L38" s="41" t="e">
        <f t="shared" si="2"/>
        <v>#DIV/0!</v>
      </c>
      <c r="M38" s="5"/>
    </row>
    <row r="39" spans="1:13" ht="18" customHeight="1">
      <c r="A39" s="25" t="s">
        <v>666</v>
      </c>
      <c r="B39" s="11"/>
      <c r="C39" s="12"/>
      <c r="D39" s="12"/>
      <c r="E39" s="11">
        <f t="shared" si="19"/>
        <v>0</v>
      </c>
      <c r="F39" s="40" t="e">
        <f t="shared" si="1"/>
        <v>#DIV/0!</v>
      </c>
      <c r="G39" s="11">
        <f t="shared" si="20"/>
        <v>0</v>
      </c>
      <c r="H39" s="21"/>
      <c r="I39" s="21"/>
      <c r="J39" s="21"/>
      <c r="K39" s="21"/>
      <c r="L39" s="41" t="e">
        <f t="shared" si="2"/>
        <v>#DIV/0!</v>
      </c>
      <c r="M39" s="5"/>
    </row>
    <row r="40" spans="1:13" ht="18" customHeight="1">
      <c r="A40" s="25" t="s">
        <v>667</v>
      </c>
      <c r="B40" s="26"/>
      <c r="C40" s="12"/>
      <c r="D40" s="12"/>
      <c r="E40" s="11">
        <f t="shared" si="19"/>
        <v>0</v>
      </c>
      <c r="F40" s="40" t="e">
        <f t="shared" si="1"/>
        <v>#DIV/0!</v>
      </c>
      <c r="G40" s="11">
        <f t="shared" si="20"/>
        <v>0</v>
      </c>
      <c r="H40" s="21"/>
      <c r="I40" s="21"/>
      <c r="J40" s="21"/>
      <c r="K40" s="21"/>
      <c r="L40" s="41" t="e">
        <f t="shared" si="2"/>
        <v>#DIV/0!</v>
      </c>
      <c r="M40" s="5"/>
    </row>
    <row r="41" spans="1:13" ht="18" customHeight="1">
      <c r="A41" s="25" t="s">
        <v>668</v>
      </c>
      <c r="B41" s="11"/>
      <c r="C41" s="12"/>
      <c r="D41" s="12"/>
      <c r="E41" s="11">
        <f t="shared" si="19"/>
        <v>0</v>
      </c>
      <c r="F41" s="40" t="e">
        <f t="shared" si="1"/>
        <v>#DIV/0!</v>
      </c>
      <c r="G41" s="11">
        <f t="shared" si="20"/>
        <v>0</v>
      </c>
      <c r="H41" s="21"/>
      <c r="I41" s="21"/>
      <c r="J41" s="21"/>
      <c r="K41" s="21"/>
      <c r="L41" s="41" t="e">
        <f t="shared" si="2"/>
        <v>#DIV/0!</v>
      </c>
      <c r="M41" s="5"/>
    </row>
    <row r="42" spans="1:13" ht="18" customHeight="1">
      <c r="A42" s="25" t="s">
        <v>669</v>
      </c>
      <c r="B42" s="11"/>
      <c r="C42" s="12"/>
      <c r="D42" s="12"/>
      <c r="E42" s="11">
        <f t="shared" si="19"/>
        <v>0</v>
      </c>
      <c r="F42" s="40" t="e">
        <f t="shared" si="1"/>
        <v>#DIV/0!</v>
      </c>
      <c r="G42" s="11">
        <f t="shared" si="20"/>
        <v>742.5</v>
      </c>
      <c r="H42" s="21"/>
      <c r="I42" s="21"/>
      <c r="J42" s="21"/>
      <c r="K42" s="21">
        <v>742.5</v>
      </c>
      <c r="L42" s="41" t="e">
        <f t="shared" si="2"/>
        <v>#DIV/0!</v>
      </c>
      <c r="M42" s="5"/>
    </row>
    <row r="43" spans="1:13" ht="18" customHeight="1">
      <c r="A43" s="25" t="s">
        <v>670</v>
      </c>
      <c r="B43" s="11">
        <f aca="true" t="shared" si="21" ref="B43:K43">SUM(B44:B46)</f>
        <v>0</v>
      </c>
      <c r="C43" s="11">
        <f t="shared" si="21"/>
        <v>0</v>
      </c>
      <c r="D43" s="11">
        <f t="shared" si="21"/>
        <v>0</v>
      </c>
      <c r="E43" s="11">
        <f t="shared" si="21"/>
        <v>0</v>
      </c>
      <c r="F43" s="40" t="e">
        <f t="shared" si="1"/>
        <v>#DIV/0!</v>
      </c>
      <c r="G43" s="11">
        <f t="shared" si="21"/>
        <v>900</v>
      </c>
      <c r="H43" s="11">
        <f t="shared" si="21"/>
        <v>450</v>
      </c>
      <c r="I43" s="11">
        <f t="shared" si="21"/>
        <v>0</v>
      </c>
      <c r="J43" s="11">
        <f t="shared" si="21"/>
        <v>0</v>
      </c>
      <c r="K43" s="11">
        <f t="shared" si="21"/>
        <v>450</v>
      </c>
      <c r="L43" s="41" t="e">
        <f t="shared" si="2"/>
        <v>#DIV/0!</v>
      </c>
      <c r="M43" s="5"/>
    </row>
    <row r="44" spans="1:13" ht="18" customHeight="1">
      <c r="A44" s="25" t="s">
        <v>671</v>
      </c>
      <c r="B44" s="11"/>
      <c r="C44" s="12"/>
      <c r="D44" s="12"/>
      <c r="E44" s="11">
        <f aca="true" t="shared" si="22" ref="E44:E47">C44+D44</f>
        <v>0</v>
      </c>
      <c r="F44" s="40" t="e">
        <f t="shared" si="1"/>
        <v>#DIV/0!</v>
      </c>
      <c r="G44" s="11">
        <f aca="true" t="shared" si="23" ref="G44:G47">SUM(H44:K44)</f>
        <v>0</v>
      </c>
      <c r="H44" s="21"/>
      <c r="I44" s="21"/>
      <c r="J44" s="21"/>
      <c r="K44" s="21"/>
      <c r="L44" s="41" t="e">
        <f t="shared" si="2"/>
        <v>#DIV/0!</v>
      </c>
      <c r="M44" s="5"/>
    </row>
    <row r="45" spans="1:13" ht="18" customHeight="1">
      <c r="A45" s="25" t="s">
        <v>672</v>
      </c>
      <c r="B45" s="11"/>
      <c r="C45" s="12"/>
      <c r="D45" s="12"/>
      <c r="E45" s="11">
        <f t="shared" si="22"/>
        <v>0</v>
      </c>
      <c r="F45" s="40" t="e">
        <f t="shared" si="1"/>
        <v>#DIV/0!</v>
      </c>
      <c r="G45" s="11">
        <f t="shared" si="23"/>
        <v>0</v>
      </c>
      <c r="H45" s="21"/>
      <c r="I45" s="21"/>
      <c r="J45" s="21"/>
      <c r="K45" s="21"/>
      <c r="L45" s="41" t="e">
        <f t="shared" si="2"/>
        <v>#DIV/0!</v>
      </c>
      <c r="M45" s="5"/>
    </row>
    <row r="46" spans="1:13" ht="18" customHeight="1">
      <c r="A46" s="25" t="s">
        <v>673</v>
      </c>
      <c r="B46" s="11"/>
      <c r="C46" s="12"/>
      <c r="D46" s="12"/>
      <c r="E46" s="11">
        <f t="shared" si="22"/>
        <v>0</v>
      </c>
      <c r="F46" s="40" t="e">
        <f t="shared" si="1"/>
        <v>#DIV/0!</v>
      </c>
      <c r="G46" s="11">
        <f t="shared" si="23"/>
        <v>900</v>
      </c>
      <c r="H46" s="21">
        <f>3*600/4</f>
        <v>450</v>
      </c>
      <c r="I46" s="21"/>
      <c r="J46" s="21"/>
      <c r="K46" s="21">
        <f>3*600/4</f>
        <v>450</v>
      </c>
      <c r="L46" s="41" t="e">
        <f t="shared" si="2"/>
        <v>#DIV/0!</v>
      </c>
      <c r="M46" s="5"/>
    </row>
    <row r="47" spans="1:13" ht="18" customHeight="1">
      <c r="A47" s="109" t="s">
        <v>674</v>
      </c>
      <c r="B47" s="110"/>
      <c r="C47" s="112"/>
      <c r="D47" s="112"/>
      <c r="E47" s="11">
        <f t="shared" si="22"/>
        <v>0</v>
      </c>
      <c r="F47" s="40" t="e">
        <f t="shared" si="1"/>
        <v>#DIV/0!</v>
      </c>
      <c r="G47" s="11">
        <f t="shared" si="23"/>
        <v>25046.079999999998</v>
      </c>
      <c r="H47" s="111">
        <f>E5+H5</f>
        <v>8133.84</v>
      </c>
      <c r="I47" s="111"/>
      <c r="J47" s="111"/>
      <c r="K47" s="111">
        <f>K5</f>
        <v>16912.239999999998</v>
      </c>
      <c r="L47" s="41" t="e">
        <f t="shared" si="2"/>
        <v>#DIV/0!</v>
      </c>
      <c r="M47" s="113">
        <v>44986</v>
      </c>
    </row>
    <row r="48" spans="1:13" ht="12.75">
      <c r="A48" s="25" t="s">
        <v>628</v>
      </c>
      <c r="B48" s="11"/>
      <c r="C48" s="12"/>
      <c r="D48" s="12"/>
      <c r="E48" s="11"/>
      <c r="F48" s="40"/>
      <c r="G48" s="11">
        <f>E5-E47+G5-G47</f>
        <v>0</v>
      </c>
      <c r="H48" s="21"/>
      <c r="I48" s="21"/>
      <c r="J48" s="21"/>
      <c r="K48" s="21"/>
      <c r="L48" s="41"/>
      <c r="M48" s="5"/>
    </row>
    <row r="49" spans="1:13" ht="12.75">
      <c r="A49" s="25"/>
      <c r="B49" s="11"/>
      <c r="C49" s="12"/>
      <c r="D49" s="12"/>
      <c r="E49" s="11"/>
      <c r="F49" s="40"/>
      <c r="G49" s="11"/>
      <c r="H49" s="12"/>
      <c r="I49" s="12"/>
      <c r="J49" s="12"/>
      <c r="K49" s="12"/>
      <c r="L49" s="41"/>
      <c r="M49" s="5"/>
    </row>
    <row r="50" spans="1:13" ht="12.75">
      <c r="A50" s="5"/>
      <c r="B50" s="5"/>
      <c r="C50" s="16"/>
      <c r="D50" s="4" t="s">
        <v>677</v>
      </c>
      <c r="E50" s="5"/>
      <c r="F50" s="5"/>
      <c r="G50" s="5"/>
      <c r="H50" s="16"/>
      <c r="I50" s="4" t="s">
        <v>678</v>
      </c>
      <c r="J50" s="5"/>
      <c r="K50" s="5"/>
      <c r="L50" s="5"/>
      <c r="M50" s="5"/>
    </row>
  </sheetData>
  <sheetProtection/>
  <mergeCells count="6">
    <mergeCell ref="A1:M1"/>
    <mergeCell ref="B3:F3"/>
    <mergeCell ref="G3:K3"/>
    <mergeCell ref="A3:A4"/>
    <mergeCell ref="L3:L4"/>
    <mergeCell ref="M3:M4"/>
  </mergeCells>
  <printOptions/>
  <pageMargins left="1.18" right="0.19" top="0.55" bottom="0.39" header="0.28" footer="0.16"/>
  <pageSetup fitToHeight="1" fitToWidth="1" horizontalDpi="300" verticalDpi="300" orientation="landscape" paperSize="9" scale="76"/>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M50"/>
  <sheetViews>
    <sheetView workbookViewId="0" topLeftCell="A1">
      <selection activeCell="A2" sqref="A2"/>
    </sheetView>
  </sheetViews>
  <sheetFormatPr defaultColWidth="9.140625" defaultRowHeight="12.75"/>
  <cols>
    <col min="1" max="1" width="30.28125" style="0" customWidth="1"/>
    <col min="2" max="2" width="13.140625" style="0" customWidth="1"/>
    <col min="3" max="3" width="10.7109375" style="0" customWidth="1"/>
    <col min="4" max="4" width="11.7109375" style="0" customWidth="1"/>
    <col min="5" max="6" width="10.7109375" style="0" customWidth="1"/>
    <col min="7" max="11" width="13.7109375" style="0" customWidth="1"/>
    <col min="12" max="13" width="10.7109375" style="0" customWidth="1"/>
  </cols>
  <sheetData>
    <row r="1" spans="1:13" ht="25.5" customHeight="1">
      <c r="A1" s="105" t="s">
        <v>681</v>
      </c>
      <c r="B1" s="23"/>
      <c r="C1" s="23" t="s">
        <v>598</v>
      </c>
      <c r="D1" s="23" t="s">
        <v>598</v>
      </c>
      <c r="E1" s="23" t="s">
        <v>598</v>
      </c>
      <c r="F1" s="23"/>
      <c r="G1" s="23" t="s">
        <v>598</v>
      </c>
      <c r="H1" s="23" t="s">
        <v>598</v>
      </c>
      <c r="I1" s="23" t="s">
        <v>598</v>
      </c>
      <c r="J1" s="23" t="s">
        <v>598</v>
      </c>
      <c r="K1" s="23" t="s">
        <v>598</v>
      </c>
      <c r="L1" s="23" t="s">
        <v>598</v>
      </c>
      <c r="M1" s="23" t="s">
        <v>598</v>
      </c>
    </row>
    <row r="2" spans="1:13" ht="18" customHeight="1">
      <c r="A2" s="106" t="s">
        <v>364</v>
      </c>
      <c r="B2" s="107"/>
      <c r="C2" s="45"/>
      <c r="D2" s="46"/>
      <c r="E2" s="47"/>
      <c r="F2" s="55"/>
      <c r="G2" s="24" t="s">
        <v>288</v>
      </c>
      <c r="H2" s="5"/>
      <c r="I2" s="5"/>
      <c r="J2" s="5"/>
      <c r="K2" s="5"/>
      <c r="L2" s="16" t="s">
        <v>599</v>
      </c>
      <c r="M2" s="5"/>
    </row>
    <row r="3" spans="1:13" ht="18" customHeight="1">
      <c r="A3" s="18" t="s">
        <v>290</v>
      </c>
      <c r="B3" s="90" t="s">
        <v>366</v>
      </c>
      <c r="C3" s="38"/>
      <c r="D3" s="38"/>
      <c r="E3" s="38"/>
      <c r="F3" s="39"/>
      <c r="G3" s="9" t="s">
        <v>292</v>
      </c>
      <c r="H3" s="9"/>
      <c r="I3" s="9" t="s">
        <v>292</v>
      </c>
      <c r="J3" s="9" t="s">
        <v>292</v>
      </c>
      <c r="K3" s="9" t="s">
        <v>292</v>
      </c>
      <c r="L3" s="9" t="s">
        <v>293</v>
      </c>
      <c r="M3" s="18" t="s">
        <v>33</v>
      </c>
    </row>
    <row r="4" spans="1:13" ht="18" customHeight="1">
      <c r="A4" s="18"/>
      <c r="B4" s="9" t="s">
        <v>294</v>
      </c>
      <c r="C4" s="9" t="s">
        <v>463</v>
      </c>
      <c r="D4" s="9" t="s">
        <v>296</v>
      </c>
      <c r="E4" s="9" t="s">
        <v>464</v>
      </c>
      <c r="F4" s="9" t="s">
        <v>299</v>
      </c>
      <c r="G4" s="9" t="s">
        <v>314</v>
      </c>
      <c r="H4" s="9" t="s">
        <v>324</v>
      </c>
      <c r="I4" s="9" t="s">
        <v>331</v>
      </c>
      <c r="J4" s="9" t="s">
        <v>334</v>
      </c>
      <c r="K4" s="9" t="s">
        <v>336</v>
      </c>
      <c r="L4" s="9" t="s">
        <v>293</v>
      </c>
      <c r="M4" s="18" t="s">
        <v>33</v>
      </c>
    </row>
    <row r="5" spans="1:13" ht="18" customHeight="1">
      <c r="A5" s="25" t="s">
        <v>632</v>
      </c>
      <c r="B5" s="11">
        <f aca="true" t="shared" si="0" ref="B5:K5">B6+B32+B43</f>
        <v>0</v>
      </c>
      <c r="C5" s="11">
        <f t="shared" si="0"/>
        <v>0</v>
      </c>
      <c r="D5" s="11">
        <f t="shared" si="0"/>
        <v>0</v>
      </c>
      <c r="E5" s="11">
        <f t="shared" si="0"/>
        <v>0</v>
      </c>
      <c r="F5" s="40" t="e">
        <f aca="true" t="shared" si="1" ref="F5:F47">E5/B5</f>
        <v>#DIV/0!</v>
      </c>
      <c r="G5" s="11">
        <f t="shared" si="0"/>
        <v>1136342.66065</v>
      </c>
      <c r="H5" s="11">
        <f t="shared" si="0"/>
        <v>0</v>
      </c>
      <c r="I5" s="11">
        <f t="shared" si="0"/>
        <v>524936.4299999999</v>
      </c>
      <c r="J5" s="11">
        <f t="shared" si="0"/>
        <v>489505.24295</v>
      </c>
      <c r="K5" s="11">
        <f t="shared" si="0"/>
        <v>121900.9877</v>
      </c>
      <c r="L5" s="41" t="e">
        <f aca="true" t="shared" si="2" ref="L5:L47">G5/E5</f>
        <v>#DIV/0!</v>
      </c>
      <c r="M5" s="5"/>
    </row>
    <row r="6" spans="1:13" ht="18" customHeight="1">
      <c r="A6" s="25" t="s">
        <v>633</v>
      </c>
      <c r="B6" s="11">
        <f aca="true" t="shared" si="3" ref="B6:K6">B7+B26+B27</f>
        <v>0</v>
      </c>
      <c r="C6" s="11">
        <f t="shared" si="3"/>
        <v>0</v>
      </c>
      <c r="D6" s="11">
        <f t="shared" si="3"/>
        <v>0</v>
      </c>
      <c r="E6" s="11">
        <f t="shared" si="3"/>
        <v>0</v>
      </c>
      <c r="F6" s="40" t="e">
        <f t="shared" si="1"/>
        <v>#DIV/0!</v>
      </c>
      <c r="G6" s="11">
        <f t="shared" si="3"/>
        <v>1068992.66065</v>
      </c>
      <c r="H6" s="11">
        <f t="shared" si="3"/>
        <v>0</v>
      </c>
      <c r="I6" s="11">
        <f t="shared" si="3"/>
        <v>499646.43</v>
      </c>
      <c r="J6" s="11">
        <f t="shared" si="3"/>
        <v>464215.24295</v>
      </c>
      <c r="K6" s="11">
        <f t="shared" si="3"/>
        <v>105130.9877</v>
      </c>
      <c r="L6" s="41" t="e">
        <f t="shared" si="2"/>
        <v>#DIV/0!</v>
      </c>
      <c r="M6" s="5"/>
    </row>
    <row r="7" spans="1:13" ht="18" customHeight="1">
      <c r="A7" s="72" t="s">
        <v>634</v>
      </c>
      <c r="B7" s="11">
        <f aca="true" t="shared" si="4" ref="B7:K7">B8+B16+B20+B23+B24+B25</f>
        <v>0</v>
      </c>
      <c r="C7" s="11">
        <f t="shared" si="4"/>
        <v>0</v>
      </c>
      <c r="D7" s="11">
        <f t="shared" si="4"/>
        <v>0</v>
      </c>
      <c r="E7" s="11">
        <f t="shared" si="4"/>
        <v>0</v>
      </c>
      <c r="F7" s="40" t="e">
        <f t="shared" si="1"/>
        <v>#DIV/0!</v>
      </c>
      <c r="G7" s="11">
        <f t="shared" si="4"/>
        <v>196073.91064999998</v>
      </c>
      <c r="H7" s="11">
        <f t="shared" si="4"/>
        <v>0</v>
      </c>
      <c r="I7" s="11">
        <f t="shared" si="4"/>
        <v>108507.05500000001</v>
      </c>
      <c r="J7" s="11">
        <f t="shared" si="4"/>
        <v>73075.86795</v>
      </c>
      <c r="K7" s="11">
        <f t="shared" si="4"/>
        <v>14490.987700000003</v>
      </c>
      <c r="L7" s="41" t="e">
        <f t="shared" si="2"/>
        <v>#DIV/0!</v>
      </c>
      <c r="M7" s="5"/>
    </row>
    <row r="8" spans="1:13" ht="18" customHeight="1">
      <c r="A8" s="72" t="s">
        <v>635</v>
      </c>
      <c r="B8" s="11">
        <f aca="true" t="shared" si="5" ref="B8:K8">B9+B10+B14+B15</f>
        <v>0</v>
      </c>
      <c r="C8" s="11">
        <f t="shared" si="5"/>
        <v>0</v>
      </c>
      <c r="D8" s="11">
        <f t="shared" si="5"/>
        <v>0</v>
      </c>
      <c r="E8" s="11">
        <f t="shared" si="5"/>
        <v>0</v>
      </c>
      <c r="F8" s="40" t="e">
        <f t="shared" si="1"/>
        <v>#DIV/0!</v>
      </c>
      <c r="G8" s="11">
        <f t="shared" si="5"/>
        <v>147881.18999999997</v>
      </c>
      <c r="H8" s="11">
        <f t="shared" si="5"/>
        <v>0</v>
      </c>
      <c r="I8" s="11">
        <f t="shared" si="5"/>
        <v>80993</v>
      </c>
      <c r="J8" s="11">
        <f t="shared" si="5"/>
        <v>55885.16999999999</v>
      </c>
      <c r="K8" s="11">
        <f t="shared" si="5"/>
        <v>11003.020000000002</v>
      </c>
      <c r="L8" s="41" t="e">
        <f t="shared" si="2"/>
        <v>#DIV/0!</v>
      </c>
      <c r="M8" s="5"/>
    </row>
    <row r="9" spans="1:13" ht="18" customHeight="1">
      <c r="A9" s="72" t="s">
        <v>636</v>
      </c>
      <c r="B9" s="11"/>
      <c r="C9" s="15"/>
      <c r="D9" s="12"/>
      <c r="E9" s="11">
        <f aca="true" t="shared" si="6" ref="E9:E15">C9+D9</f>
        <v>0</v>
      </c>
      <c r="F9" s="40" t="e">
        <f t="shared" si="1"/>
        <v>#DIV/0!</v>
      </c>
      <c r="G9" s="11">
        <f aca="true" t="shared" si="7" ref="G9:G15">SUM(H9:K9)</f>
        <v>74773.79999999999</v>
      </c>
      <c r="H9" s="12"/>
      <c r="I9" s="21">
        <f>('[5]1)人工成本'!$E$25-'[5]1)人工成本'!$E$20)*3</f>
        <v>40860</v>
      </c>
      <c r="J9" s="21">
        <f>('[5]1)人工成本'!$E$25-'[5]1)人工成本'!$E$20)*3*69%</f>
        <v>28193.399999999998</v>
      </c>
      <c r="K9" s="21">
        <f>('[5]1)人工成本'!$E$25-'[5]1)人工成本'!$E$20)*3*14%</f>
        <v>5720.400000000001</v>
      </c>
      <c r="L9" s="41" t="e">
        <f t="shared" si="2"/>
        <v>#DIV/0!</v>
      </c>
      <c r="M9" s="5"/>
    </row>
    <row r="10" spans="1:13" ht="18" customHeight="1">
      <c r="A10" s="72" t="s">
        <v>637</v>
      </c>
      <c r="B10" s="11">
        <f aca="true" t="shared" si="8" ref="B10:K10">SUM(B11:B13)</f>
        <v>0</v>
      </c>
      <c r="C10" s="11">
        <f t="shared" si="8"/>
        <v>0</v>
      </c>
      <c r="D10" s="11">
        <f t="shared" si="8"/>
        <v>0</v>
      </c>
      <c r="E10" s="11">
        <f t="shared" si="8"/>
        <v>0</v>
      </c>
      <c r="F10" s="40" t="e">
        <f t="shared" si="1"/>
        <v>#DIV/0!</v>
      </c>
      <c r="G10" s="11">
        <f t="shared" si="8"/>
        <v>54634.649999999994</v>
      </c>
      <c r="H10" s="11">
        <f t="shared" si="8"/>
        <v>0</v>
      </c>
      <c r="I10" s="11">
        <f t="shared" si="8"/>
        <v>29855</v>
      </c>
      <c r="J10" s="11">
        <f t="shared" si="8"/>
        <v>20599.949999999997</v>
      </c>
      <c r="K10" s="11">
        <f t="shared" si="8"/>
        <v>4179.700000000001</v>
      </c>
      <c r="L10" s="41" t="e">
        <f t="shared" si="2"/>
        <v>#DIV/0!</v>
      </c>
      <c r="M10" s="5"/>
    </row>
    <row r="11" spans="1:13" ht="18" customHeight="1">
      <c r="A11" s="75" t="s">
        <v>638</v>
      </c>
      <c r="B11" s="11"/>
      <c r="C11" s="15"/>
      <c r="D11" s="12"/>
      <c r="E11" s="11">
        <f t="shared" si="6"/>
        <v>0</v>
      </c>
      <c r="F11" s="40" t="e">
        <f t="shared" si="1"/>
        <v>#DIV/0!</v>
      </c>
      <c r="G11" s="11">
        <f t="shared" si="7"/>
        <v>0</v>
      </c>
      <c r="H11" s="12"/>
      <c r="I11" s="21"/>
      <c r="J11" s="21"/>
      <c r="K11" s="12"/>
      <c r="L11" s="41" t="e">
        <f t="shared" si="2"/>
        <v>#DIV/0!</v>
      </c>
      <c r="M11" s="5"/>
    </row>
    <row r="12" spans="1:13" ht="18" customHeight="1">
      <c r="A12" s="75" t="s">
        <v>639</v>
      </c>
      <c r="B12" s="11"/>
      <c r="C12" s="15"/>
      <c r="D12" s="12"/>
      <c r="E12" s="11">
        <f t="shared" si="6"/>
        <v>0</v>
      </c>
      <c r="F12" s="40" t="e">
        <f t="shared" si="1"/>
        <v>#DIV/0!</v>
      </c>
      <c r="G12" s="11">
        <f t="shared" si="7"/>
        <v>20313</v>
      </c>
      <c r="H12" s="12"/>
      <c r="I12" s="21">
        <f>('[5]1)人工成本'!$V$25-'[5]1)人工成本'!$V$20)*3</f>
        <v>11100</v>
      </c>
      <c r="J12" s="21">
        <f>('[5]1)人工成本'!$V$25-'[5]1)人工成本'!$V$20)*3*69%</f>
        <v>7658.999999999999</v>
      </c>
      <c r="K12" s="21">
        <f>('[5]1)人工成本'!$V$25-'[5]1)人工成本'!$V$20)*3*14%</f>
        <v>1554.0000000000002</v>
      </c>
      <c r="L12" s="41" t="e">
        <f t="shared" si="2"/>
        <v>#DIV/0!</v>
      </c>
      <c r="M12" s="5"/>
    </row>
    <row r="13" spans="1:13" ht="18" customHeight="1">
      <c r="A13" s="75" t="s">
        <v>640</v>
      </c>
      <c r="B13" s="11"/>
      <c r="C13" s="15"/>
      <c r="D13" s="12"/>
      <c r="E13" s="11">
        <f t="shared" si="6"/>
        <v>0</v>
      </c>
      <c r="F13" s="40" t="e">
        <f t="shared" si="1"/>
        <v>#DIV/0!</v>
      </c>
      <c r="G13" s="11">
        <f t="shared" si="7"/>
        <v>34321.649999999994</v>
      </c>
      <c r="H13" s="12"/>
      <c r="I13" s="21">
        <f>('[5]1)人工成本'!$X$25-'[5]1)人工成本'!$X$20)/4</f>
        <v>18755</v>
      </c>
      <c r="J13" s="21">
        <f>('[5]1)人工成本'!$X$25-'[5]1)人工成本'!$X$20)/4*69%</f>
        <v>12940.949999999999</v>
      </c>
      <c r="K13" s="21">
        <f>('[5]1)人工成本'!$X$25-'[5]1)人工成本'!$X$20)/4*14%</f>
        <v>2625.7000000000003</v>
      </c>
      <c r="L13" s="41" t="e">
        <f t="shared" si="2"/>
        <v>#DIV/0!</v>
      </c>
      <c r="M13" s="5"/>
    </row>
    <row r="14" spans="1:13" ht="18" customHeight="1">
      <c r="A14" s="72" t="s">
        <v>641</v>
      </c>
      <c r="B14" s="11"/>
      <c r="C14" s="15"/>
      <c r="D14" s="12"/>
      <c r="E14" s="11">
        <f t="shared" si="6"/>
        <v>0</v>
      </c>
      <c r="F14" s="40" t="e">
        <f t="shared" si="1"/>
        <v>#DIV/0!</v>
      </c>
      <c r="G14" s="11">
        <f t="shared" si="7"/>
        <v>18472.739999999998</v>
      </c>
      <c r="H14" s="12"/>
      <c r="I14" s="21">
        <f>('[5]1)人工成本'!$G$25-'[5]1)人工成本'!$G$20+'[5]1)人工成本'!$H$25+'[5]1)人工成本'!$I$25-'[5]1)人工成本'!$I$20+'[5]1)人工成本'!$J$25-'[5]1)人工成本'!$J$20+'[5]1)人工成本'!$K$25-'[5]1)人工成本'!$K$20)*3</f>
        <v>10278</v>
      </c>
      <c r="J14" s="21">
        <f>('[5]1)人工成本'!$G$25-'[5]1)人工成本'!$G$20+'[5]1)人工成本'!$H$25+'[5]1)人工成本'!$I$25-'[5]1)人工成本'!$I$20+'[5]1)人工成本'!$J$25-'[5]1)人工成本'!$J$20+'[5]1)人工成本'!$K$25-'[5]1)人工成本'!$K$20)*3*69%</f>
        <v>7091.82</v>
      </c>
      <c r="K14" s="21">
        <f>(('[5]1)人工成本'!$G$25-'[5]1)人工成本'!$G$20+'[5]1)人工成本'!$H$25+'[5]1)人工成本'!$I$25-'[5]1)人工成本'!$I$20+'[5]1)人工成本'!$J$25-'[5]1)人工成本'!$J$20)*3+'[5]1)人工成本'!$K$25-'[5]1)人工成本'!$K$20)*14%</f>
        <v>1102.92</v>
      </c>
      <c r="L14" s="41" t="e">
        <f t="shared" si="2"/>
        <v>#DIV/0!</v>
      </c>
      <c r="M14" s="5"/>
    </row>
    <row r="15" spans="1:13" ht="18" customHeight="1">
      <c r="A15" s="72" t="s">
        <v>642</v>
      </c>
      <c r="B15" s="11"/>
      <c r="C15" s="15"/>
      <c r="D15" s="12"/>
      <c r="E15" s="11">
        <f t="shared" si="6"/>
        <v>0</v>
      </c>
      <c r="F15" s="40" t="e">
        <f t="shared" si="1"/>
        <v>#DIV/0!</v>
      </c>
      <c r="G15" s="11">
        <f t="shared" si="7"/>
        <v>0</v>
      </c>
      <c r="H15" s="12"/>
      <c r="I15" s="21"/>
      <c r="J15" s="21"/>
      <c r="K15" s="12"/>
      <c r="L15" s="41" t="e">
        <f t="shared" si="2"/>
        <v>#DIV/0!</v>
      </c>
      <c r="M15" s="5"/>
    </row>
    <row r="16" spans="1:13" ht="18" customHeight="1">
      <c r="A16" s="72" t="s">
        <v>643</v>
      </c>
      <c r="B16" s="11">
        <f aca="true" t="shared" si="9" ref="B16:K16">SUM(B17:B19)</f>
        <v>0</v>
      </c>
      <c r="C16" s="11">
        <f t="shared" si="9"/>
        <v>0</v>
      </c>
      <c r="D16" s="11">
        <f t="shared" si="9"/>
        <v>0</v>
      </c>
      <c r="E16" s="11">
        <f t="shared" si="9"/>
        <v>0</v>
      </c>
      <c r="F16" s="40" t="e">
        <f t="shared" si="1"/>
        <v>#DIV/0!</v>
      </c>
      <c r="G16" s="11">
        <f t="shared" si="9"/>
        <v>2600</v>
      </c>
      <c r="H16" s="11">
        <f t="shared" si="9"/>
        <v>0</v>
      </c>
      <c r="I16" s="11">
        <f t="shared" si="9"/>
        <v>2600</v>
      </c>
      <c r="J16" s="11">
        <f t="shared" si="9"/>
        <v>0</v>
      </c>
      <c r="K16" s="11">
        <f t="shared" si="9"/>
        <v>0</v>
      </c>
      <c r="L16" s="41" t="e">
        <f t="shared" si="2"/>
        <v>#DIV/0!</v>
      </c>
      <c r="M16" s="5"/>
    </row>
    <row r="17" spans="1:13" ht="18" customHeight="1">
      <c r="A17" s="72" t="s">
        <v>644</v>
      </c>
      <c r="B17" s="11"/>
      <c r="C17" s="15"/>
      <c r="D17" s="12"/>
      <c r="E17" s="11">
        <f aca="true" t="shared" si="10" ref="E17:E19">C17+D17</f>
        <v>0</v>
      </c>
      <c r="F17" s="40" t="e">
        <f t="shared" si="1"/>
        <v>#DIV/0!</v>
      </c>
      <c r="G17" s="11">
        <f aca="true" t="shared" si="11" ref="G17:G19">SUM(H17:K17)</f>
        <v>0</v>
      </c>
      <c r="H17" s="21"/>
      <c r="I17" s="21"/>
      <c r="J17" s="21"/>
      <c r="K17" s="12"/>
      <c r="L17" s="41" t="e">
        <f t="shared" si="2"/>
        <v>#DIV/0!</v>
      </c>
      <c r="M17" s="5"/>
    </row>
    <row r="18" spans="1:13" ht="18" customHeight="1">
      <c r="A18" s="72" t="s">
        <v>645</v>
      </c>
      <c r="B18" s="11"/>
      <c r="C18" s="15"/>
      <c r="D18" s="12"/>
      <c r="E18" s="11">
        <f t="shared" si="10"/>
        <v>0</v>
      </c>
      <c r="F18" s="40" t="e">
        <f t="shared" si="1"/>
        <v>#DIV/0!</v>
      </c>
      <c r="G18" s="11">
        <f t="shared" si="11"/>
        <v>2600</v>
      </c>
      <c r="H18" s="21"/>
      <c r="I18" s="21">
        <f>650*4</f>
        <v>2600</v>
      </c>
      <c r="J18" s="21"/>
      <c r="K18" s="12"/>
      <c r="L18" s="41" t="e">
        <f t="shared" si="2"/>
        <v>#DIV/0!</v>
      </c>
      <c r="M18" s="5"/>
    </row>
    <row r="19" spans="1:13" ht="18" customHeight="1">
      <c r="A19" s="72" t="s">
        <v>646</v>
      </c>
      <c r="B19" s="11"/>
      <c r="C19" s="15"/>
      <c r="D19" s="12"/>
      <c r="E19" s="11">
        <f t="shared" si="10"/>
        <v>0</v>
      </c>
      <c r="F19" s="40" t="e">
        <f t="shared" si="1"/>
        <v>#DIV/0!</v>
      </c>
      <c r="G19" s="11">
        <f t="shared" si="11"/>
        <v>0</v>
      </c>
      <c r="H19" s="21"/>
      <c r="I19" s="21"/>
      <c r="J19" s="21"/>
      <c r="K19" s="12"/>
      <c r="L19" s="41" t="e">
        <f t="shared" si="2"/>
        <v>#DIV/0!</v>
      </c>
      <c r="M19" s="5"/>
    </row>
    <row r="20" spans="1:13" ht="18" customHeight="1">
      <c r="A20" s="72" t="s">
        <v>647</v>
      </c>
      <c r="B20" s="11">
        <f aca="true" t="shared" si="12" ref="B20:K20">SUM(B21:B22)</f>
        <v>0</v>
      </c>
      <c r="C20" s="11">
        <f t="shared" si="12"/>
        <v>0</v>
      </c>
      <c r="D20" s="11">
        <f t="shared" si="12"/>
        <v>0</v>
      </c>
      <c r="E20" s="11">
        <f t="shared" si="12"/>
        <v>0</v>
      </c>
      <c r="F20" s="40" t="e">
        <f t="shared" si="1"/>
        <v>#DIV/0!</v>
      </c>
      <c r="G20" s="11">
        <f t="shared" si="12"/>
        <v>28554.588</v>
      </c>
      <c r="H20" s="11">
        <f t="shared" si="12"/>
        <v>0</v>
      </c>
      <c r="I20" s="11">
        <f t="shared" si="12"/>
        <v>15603.6</v>
      </c>
      <c r="J20" s="11">
        <f t="shared" si="12"/>
        <v>10766.483999999999</v>
      </c>
      <c r="K20" s="11">
        <f t="shared" si="12"/>
        <v>2184.5040000000004</v>
      </c>
      <c r="L20" s="41" t="e">
        <f t="shared" si="2"/>
        <v>#DIV/0!</v>
      </c>
      <c r="M20" s="5"/>
    </row>
    <row r="21" spans="1:13" ht="18" customHeight="1">
      <c r="A21" s="72" t="s">
        <v>648</v>
      </c>
      <c r="B21" s="11"/>
      <c r="C21" s="15"/>
      <c r="D21" s="12"/>
      <c r="E21" s="11">
        <f aca="true" t="shared" si="13" ref="E21:E26">C21+D21</f>
        <v>0</v>
      </c>
      <c r="F21" s="40" t="e">
        <f t="shared" si="1"/>
        <v>#DIV/0!</v>
      </c>
      <c r="G21" s="11">
        <f aca="true" t="shared" si="14" ref="G21:G26">SUM(H21:K21)</f>
        <v>27663.2316</v>
      </c>
      <c r="H21" s="21"/>
      <c r="I21" s="21">
        <f>('[5]1)人工成本'!$N$25+'[5]1)人工成本'!$O$25+'[5]1)人工成本'!$P$25+'[5]1)人工成本'!$Q$25-'[5]1)人工成本'!$N$20-'[5]1)人工成本'!$O$20-'[5]1)人工成本'!$P$20-'[5]1)人工成本'!$Q$20)*3</f>
        <v>15116.52</v>
      </c>
      <c r="J21" s="21">
        <f>('[5]1)人工成本'!$N$25+'[5]1)人工成本'!$O$25+'[5]1)人工成本'!$P$25+'[5]1)人工成本'!$Q$25-'[5]1)人工成本'!$N$20-'[5]1)人工成本'!$O$20-'[5]1)人工成本'!$P$20-'[5]1)人工成本'!$Q$20)*3*69%</f>
        <v>10430.398799999999</v>
      </c>
      <c r="K21" s="21">
        <f>('[5]1)人工成本'!$N$25+'[5]1)人工成本'!$O$25+'[5]1)人工成本'!$P$25+'[5]1)人工成本'!$Q$25-'[5]1)人工成本'!$N$20-'[5]1)人工成本'!$O$20-'[5]1)人工成本'!$P$20-'[5]1)人工成本'!$Q$20)*3*14%</f>
        <v>2116.3128</v>
      </c>
      <c r="L21" s="41" t="e">
        <f t="shared" si="2"/>
        <v>#DIV/0!</v>
      </c>
      <c r="M21" s="5"/>
    </row>
    <row r="22" spans="1:13" ht="18" customHeight="1">
      <c r="A22" s="72" t="s">
        <v>649</v>
      </c>
      <c r="B22" s="11"/>
      <c r="C22" s="15"/>
      <c r="D22" s="12"/>
      <c r="E22" s="11">
        <f t="shared" si="13"/>
        <v>0</v>
      </c>
      <c r="F22" s="40" t="e">
        <f t="shared" si="1"/>
        <v>#DIV/0!</v>
      </c>
      <c r="G22" s="11">
        <f t="shared" si="14"/>
        <v>891.3564000000003</v>
      </c>
      <c r="H22" s="21"/>
      <c r="I22" s="21">
        <f>'[5]1)人工成本'!$AI$25*3</f>
        <v>487.0800000000002</v>
      </c>
      <c r="J22" s="21">
        <f>'[5]1)人工成本'!$AI$25*3*69%</f>
        <v>336.0852000000001</v>
      </c>
      <c r="K22" s="21">
        <f>'[5]1)人工成本'!$AI$25*3*14%</f>
        <v>68.19120000000004</v>
      </c>
      <c r="L22" s="41" t="e">
        <f t="shared" si="2"/>
        <v>#DIV/0!</v>
      </c>
      <c r="M22" s="5"/>
    </row>
    <row r="23" spans="1:13" ht="18" customHeight="1">
      <c r="A23" s="72" t="s">
        <v>650</v>
      </c>
      <c r="B23" s="11"/>
      <c r="C23" s="15"/>
      <c r="D23" s="12"/>
      <c r="E23" s="11">
        <f t="shared" si="13"/>
        <v>0</v>
      </c>
      <c r="F23" s="40" t="e">
        <f t="shared" si="1"/>
        <v>#DIV/0!</v>
      </c>
      <c r="G23" s="11">
        <f t="shared" si="14"/>
        <v>12105.449999999999</v>
      </c>
      <c r="H23" s="21"/>
      <c r="I23" s="21">
        <f>('[5]1)人工成本'!$S$25-'[5]1)人工成本'!$S$20)*3</f>
        <v>6615</v>
      </c>
      <c r="J23" s="21">
        <f>('[5]1)人工成本'!$S$25-'[5]1)人工成本'!$S$20)*3*69%</f>
        <v>4564.349999999999</v>
      </c>
      <c r="K23" s="21">
        <f>('[5]1)人工成本'!$S$25-'[5]1)人工成本'!$S$20)*3*14%</f>
        <v>926.1000000000001</v>
      </c>
      <c r="L23" s="41" t="e">
        <f t="shared" si="2"/>
        <v>#DIV/0!</v>
      </c>
      <c r="M23" s="5"/>
    </row>
    <row r="24" spans="1:13" ht="18" customHeight="1">
      <c r="A24" s="72" t="s">
        <v>651</v>
      </c>
      <c r="B24" s="11"/>
      <c r="C24" s="15"/>
      <c r="D24" s="12"/>
      <c r="E24" s="11">
        <f t="shared" si="13"/>
        <v>0</v>
      </c>
      <c r="F24" s="40" t="e">
        <f t="shared" si="1"/>
        <v>#DIV/0!</v>
      </c>
      <c r="G24" s="11">
        <f t="shared" si="14"/>
        <v>2114.0068499999998</v>
      </c>
      <c r="H24" s="21"/>
      <c r="I24" s="21">
        <f>('[5]1)人工成本'!$U$25-'[5]1)人工成本'!$U$20)/4</f>
        <v>1155.195</v>
      </c>
      <c r="J24" s="21">
        <f>('[5]1)人工成本'!$U$25-'[5]1)人工成本'!$U$20)/4*69%</f>
        <v>797.0845499999999</v>
      </c>
      <c r="K24" s="21">
        <f>('[5]1)人工成本'!$U$25-'[5]1)人工成本'!$U$20)/4*14%</f>
        <v>161.7273</v>
      </c>
      <c r="L24" s="41" t="e">
        <f t="shared" si="2"/>
        <v>#DIV/0!</v>
      </c>
      <c r="M24" s="5"/>
    </row>
    <row r="25" spans="1:13" ht="18" customHeight="1">
      <c r="A25" s="72" t="s">
        <v>652</v>
      </c>
      <c r="B25" s="11"/>
      <c r="C25" s="15"/>
      <c r="D25" s="12"/>
      <c r="E25" s="11">
        <f t="shared" si="13"/>
        <v>0</v>
      </c>
      <c r="F25" s="40" t="e">
        <f t="shared" si="1"/>
        <v>#DIV/0!</v>
      </c>
      <c r="G25" s="11">
        <f t="shared" si="14"/>
        <v>2818.6758000000004</v>
      </c>
      <c r="H25" s="21"/>
      <c r="I25" s="21">
        <f>('[5]1)人工成本'!$T$25-'[5]1)人工成本'!$T$20)/4</f>
        <v>1540.2600000000002</v>
      </c>
      <c r="J25" s="21">
        <f>('[5]1)人工成本'!$T$25-'[5]1)人工成本'!$T$20)/4*69%</f>
        <v>1062.7794000000001</v>
      </c>
      <c r="K25" s="21">
        <f>('[5]1)人工成本'!$T$25-'[5]1)人工成本'!$T$20)/4*14%</f>
        <v>215.63640000000004</v>
      </c>
      <c r="L25" s="41" t="e">
        <f t="shared" si="2"/>
        <v>#DIV/0!</v>
      </c>
      <c r="M25" s="5"/>
    </row>
    <row r="26" spans="1:13" ht="18" customHeight="1">
      <c r="A26" s="108" t="s">
        <v>653</v>
      </c>
      <c r="B26" s="11"/>
      <c r="C26" s="15"/>
      <c r="D26" s="12"/>
      <c r="E26" s="11">
        <f t="shared" si="13"/>
        <v>0</v>
      </c>
      <c r="F26" s="40" t="e">
        <f t="shared" si="1"/>
        <v>#DIV/0!</v>
      </c>
      <c r="G26" s="11">
        <f t="shared" si="14"/>
        <v>419718.75</v>
      </c>
      <c r="H26" s="21"/>
      <c r="I26" s="21">
        <v>209859.375</v>
      </c>
      <c r="J26" s="21">
        <v>209859.375</v>
      </c>
      <c r="K26" s="21"/>
      <c r="L26" s="41" t="e">
        <f t="shared" si="2"/>
        <v>#DIV/0!</v>
      </c>
      <c r="M26" s="5"/>
    </row>
    <row r="27" spans="1:13" ht="18" customHeight="1">
      <c r="A27" s="108" t="s">
        <v>654</v>
      </c>
      <c r="B27" s="11">
        <f aca="true" t="shared" si="15" ref="B27:K27">SUM(B28:B31)</f>
        <v>0</v>
      </c>
      <c r="C27" s="11">
        <f t="shared" si="15"/>
        <v>0</v>
      </c>
      <c r="D27" s="11">
        <f t="shared" si="15"/>
        <v>0</v>
      </c>
      <c r="E27" s="11">
        <f t="shared" si="15"/>
        <v>0</v>
      </c>
      <c r="F27" s="40" t="e">
        <f t="shared" si="1"/>
        <v>#DIV/0!</v>
      </c>
      <c r="G27" s="11">
        <f t="shared" si="15"/>
        <v>453200</v>
      </c>
      <c r="H27" s="11">
        <f t="shared" si="15"/>
        <v>0</v>
      </c>
      <c r="I27" s="11">
        <f t="shared" si="15"/>
        <v>181280</v>
      </c>
      <c r="J27" s="11">
        <f t="shared" si="15"/>
        <v>181280</v>
      </c>
      <c r="K27" s="11">
        <f t="shared" si="15"/>
        <v>90640</v>
      </c>
      <c r="L27" s="41" t="e">
        <f t="shared" si="2"/>
        <v>#DIV/0!</v>
      </c>
      <c r="M27" s="5"/>
    </row>
    <row r="28" spans="1:13" ht="18" customHeight="1">
      <c r="A28" s="108" t="s">
        <v>655</v>
      </c>
      <c r="B28" s="11"/>
      <c r="C28" s="15"/>
      <c r="D28" s="12"/>
      <c r="E28" s="11">
        <f aca="true" t="shared" si="16" ref="E28:E31">C28+D28</f>
        <v>0</v>
      </c>
      <c r="F28" s="40" t="e">
        <f t="shared" si="1"/>
        <v>#DIV/0!</v>
      </c>
      <c r="G28" s="11">
        <f aca="true" t="shared" si="17" ref="G28:G31">SUM(H28:K28)</f>
        <v>41250</v>
      </c>
      <c r="H28" s="21"/>
      <c r="I28" s="21">
        <v>16500</v>
      </c>
      <c r="J28" s="21">
        <v>16500</v>
      </c>
      <c r="K28" s="21">
        <v>8250</v>
      </c>
      <c r="L28" s="41" t="e">
        <f t="shared" si="2"/>
        <v>#DIV/0!</v>
      </c>
      <c r="M28" s="5"/>
    </row>
    <row r="29" spans="1:13" ht="18" customHeight="1">
      <c r="A29" s="108" t="s">
        <v>656</v>
      </c>
      <c r="B29" s="11"/>
      <c r="C29" s="15"/>
      <c r="D29" s="12"/>
      <c r="E29" s="11">
        <f t="shared" si="16"/>
        <v>0</v>
      </c>
      <c r="F29" s="40" t="e">
        <f t="shared" si="1"/>
        <v>#DIV/0!</v>
      </c>
      <c r="G29" s="11">
        <f t="shared" si="17"/>
        <v>301950</v>
      </c>
      <c r="H29" s="21"/>
      <c r="I29" s="21">
        <v>120780</v>
      </c>
      <c r="J29" s="21">
        <v>120780</v>
      </c>
      <c r="K29" s="21">
        <v>60390</v>
      </c>
      <c r="L29" s="41" t="e">
        <f t="shared" si="2"/>
        <v>#DIV/0!</v>
      </c>
      <c r="M29" s="5"/>
    </row>
    <row r="30" spans="1:13" ht="18" customHeight="1">
      <c r="A30" s="108" t="s">
        <v>657</v>
      </c>
      <c r="B30" s="11"/>
      <c r="C30" s="15"/>
      <c r="D30" s="12"/>
      <c r="E30" s="11">
        <f t="shared" si="16"/>
        <v>0</v>
      </c>
      <c r="F30" s="40" t="e">
        <f t="shared" si="1"/>
        <v>#DIV/0!</v>
      </c>
      <c r="G30" s="11">
        <f t="shared" si="17"/>
        <v>68750</v>
      </c>
      <c r="H30" s="21"/>
      <c r="I30" s="21">
        <v>27500</v>
      </c>
      <c r="J30" s="21">
        <v>27500</v>
      </c>
      <c r="K30" s="21">
        <v>13750</v>
      </c>
      <c r="L30" s="41" t="e">
        <f t="shared" si="2"/>
        <v>#DIV/0!</v>
      </c>
      <c r="M30" s="5"/>
    </row>
    <row r="31" spans="1:13" ht="18" customHeight="1">
      <c r="A31" s="108" t="s">
        <v>658</v>
      </c>
      <c r="B31" s="11"/>
      <c r="C31" s="15"/>
      <c r="D31" s="12"/>
      <c r="E31" s="11">
        <f t="shared" si="16"/>
        <v>0</v>
      </c>
      <c r="F31" s="40" t="e">
        <f t="shared" si="1"/>
        <v>#DIV/0!</v>
      </c>
      <c r="G31" s="11">
        <f t="shared" si="17"/>
        <v>41250</v>
      </c>
      <c r="H31" s="21"/>
      <c r="I31" s="21">
        <v>16500</v>
      </c>
      <c r="J31" s="21">
        <v>16500</v>
      </c>
      <c r="K31" s="21">
        <v>8250</v>
      </c>
      <c r="L31" s="41" t="e">
        <f t="shared" si="2"/>
        <v>#DIV/0!</v>
      </c>
      <c r="M31" s="5"/>
    </row>
    <row r="32" spans="1:13" ht="18" customHeight="1">
      <c r="A32" s="25" t="s">
        <v>659</v>
      </c>
      <c r="B32" s="26">
        <f aca="true" t="shared" si="18" ref="B32:K32">SUM(B33:B42)</f>
        <v>0</v>
      </c>
      <c r="C32" s="26">
        <f t="shared" si="18"/>
        <v>0</v>
      </c>
      <c r="D32" s="26">
        <f t="shared" si="18"/>
        <v>0</v>
      </c>
      <c r="E32" s="26">
        <f t="shared" si="18"/>
        <v>0</v>
      </c>
      <c r="F32" s="40" t="e">
        <f t="shared" si="1"/>
        <v>#DIV/0!</v>
      </c>
      <c r="G32" s="26">
        <f t="shared" si="18"/>
        <v>42600</v>
      </c>
      <c r="H32" s="26">
        <f t="shared" si="18"/>
        <v>0</v>
      </c>
      <c r="I32" s="26">
        <f t="shared" si="18"/>
        <v>17040</v>
      </c>
      <c r="J32" s="26">
        <f t="shared" si="18"/>
        <v>17040</v>
      </c>
      <c r="K32" s="26">
        <f t="shared" si="18"/>
        <v>8520</v>
      </c>
      <c r="L32" s="41" t="e">
        <f t="shared" si="2"/>
        <v>#DIV/0!</v>
      </c>
      <c r="M32" s="5"/>
    </row>
    <row r="33" spans="1:13" ht="18" customHeight="1">
      <c r="A33" s="25" t="s">
        <v>660</v>
      </c>
      <c r="B33" s="11"/>
      <c r="C33" s="12"/>
      <c r="D33" s="12"/>
      <c r="E33" s="11">
        <f aca="true" t="shared" si="19" ref="E33:E42">C33+D33</f>
        <v>0</v>
      </c>
      <c r="F33" s="40" t="e">
        <f t="shared" si="1"/>
        <v>#DIV/0!</v>
      </c>
      <c r="G33" s="11">
        <f aca="true" t="shared" si="20" ref="G33:G42">SUM(H33:K33)</f>
        <v>0</v>
      </c>
      <c r="H33" s="21"/>
      <c r="I33" s="21"/>
      <c r="J33" s="21"/>
      <c r="K33" s="21"/>
      <c r="L33" s="41" t="e">
        <f t="shared" si="2"/>
        <v>#DIV/0!</v>
      </c>
      <c r="M33" s="5"/>
    </row>
    <row r="34" spans="1:13" ht="18" customHeight="1">
      <c r="A34" s="25" t="s">
        <v>661</v>
      </c>
      <c r="B34" s="11"/>
      <c r="C34" s="12"/>
      <c r="D34" s="12"/>
      <c r="E34" s="11">
        <f t="shared" si="19"/>
        <v>0</v>
      </c>
      <c r="F34" s="40" t="e">
        <f t="shared" si="1"/>
        <v>#DIV/0!</v>
      </c>
      <c r="G34" s="11">
        <f t="shared" si="20"/>
        <v>0</v>
      </c>
      <c r="H34" s="21"/>
      <c r="I34" s="21"/>
      <c r="J34" s="21"/>
      <c r="K34" s="21"/>
      <c r="L34" s="41" t="e">
        <f t="shared" si="2"/>
        <v>#DIV/0!</v>
      </c>
      <c r="M34" s="5"/>
    </row>
    <row r="35" spans="1:13" ht="18" customHeight="1">
      <c r="A35" s="25" t="s">
        <v>662</v>
      </c>
      <c r="B35" s="11"/>
      <c r="C35" s="12"/>
      <c r="D35" s="12"/>
      <c r="E35" s="11">
        <f t="shared" si="19"/>
        <v>0</v>
      </c>
      <c r="F35" s="40" t="e">
        <f t="shared" si="1"/>
        <v>#DIV/0!</v>
      </c>
      <c r="G35" s="11">
        <f t="shared" si="20"/>
        <v>30000</v>
      </c>
      <c r="H35" s="21"/>
      <c r="I35" s="21">
        <v>12000</v>
      </c>
      <c r="J35" s="21">
        <v>12000</v>
      </c>
      <c r="K35" s="21">
        <v>6000</v>
      </c>
      <c r="L35" s="41" t="e">
        <f t="shared" si="2"/>
        <v>#DIV/0!</v>
      </c>
      <c r="M35" s="5"/>
    </row>
    <row r="36" spans="1:13" ht="18" customHeight="1">
      <c r="A36" s="25" t="s">
        <v>663</v>
      </c>
      <c r="B36" s="11"/>
      <c r="C36" s="12"/>
      <c r="D36" s="12"/>
      <c r="E36" s="11">
        <f t="shared" si="19"/>
        <v>0</v>
      </c>
      <c r="F36" s="40" t="e">
        <f t="shared" si="1"/>
        <v>#DIV/0!</v>
      </c>
      <c r="G36" s="11">
        <f t="shared" si="20"/>
        <v>500</v>
      </c>
      <c r="H36" s="21"/>
      <c r="I36" s="21">
        <v>200</v>
      </c>
      <c r="J36" s="21">
        <v>200</v>
      </c>
      <c r="K36" s="21">
        <v>100</v>
      </c>
      <c r="L36" s="41" t="e">
        <f t="shared" si="2"/>
        <v>#DIV/0!</v>
      </c>
      <c r="M36" s="5"/>
    </row>
    <row r="37" spans="1:13" ht="18" customHeight="1">
      <c r="A37" s="25" t="s">
        <v>664</v>
      </c>
      <c r="B37" s="11"/>
      <c r="C37" s="12"/>
      <c r="D37" s="12"/>
      <c r="E37" s="11">
        <f t="shared" si="19"/>
        <v>0</v>
      </c>
      <c r="F37" s="40" t="e">
        <f t="shared" si="1"/>
        <v>#DIV/0!</v>
      </c>
      <c r="G37" s="11">
        <f t="shared" si="20"/>
        <v>0</v>
      </c>
      <c r="H37" s="21"/>
      <c r="I37" s="21"/>
      <c r="J37" s="21"/>
      <c r="K37" s="21"/>
      <c r="L37" s="41" t="e">
        <f t="shared" si="2"/>
        <v>#DIV/0!</v>
      </c>
      <c r="M37" s="5"/>
    </row>
    <row r="38" spans="1:13" ht="18" customHeight="1">
      <c r="A38" s="25" t="s">
        <v>665</v>
      </c>
      <c r="B38" s="11"/>
      <c r="C38" s="12"/>
      <c r="D38" s="12"/>
      <c r="E38" s="11">
        <f t="shared" si="19"/>
        <v>0</v>
      </c>
      <c r="F38" s="40" t="e">
        <f t="shared" si="1"/>
        <v>#DIV/0!</v>
      </c>
      <c r="G38" s="11">
        <f t="shared" si="20"/>
        <v>0</v>
      </c>
      <c r="H38" s="21"/>
      <c r="I38" s="21"/>
      <c r="J38" s="21"/>
      <c r="K38" s="21"/>
      <c r="L38" s="41" t="e">
        <f t="shared" si="2"/>
        <v>#DIV/0!</v>
      </c>
      <c r="M38" s="5"/>
    </row>
    <row r="39" spans="1:13" ht="18" customHeight="1">
      <c r="A39" s="25" t="s">
        <v>666</v>
      </c>
      <c r="B39" s="11"/>
      <c r="C39" s="12"/>
      <c r="D39" s="12"/>
      <c r="E39" s="11">
        <f t="shared" si="19"/>
        <v>0</v>
      </c>
      <c r="F39" s="40" t="e">
        <f t="shared" si="1"/>
        <v>#DIV/0!</v>
      </c>
      <c r="G39" s="11">
        <f t="shared" si="20"/>
        <v>0</v>
      </c>
      <c r="H39" s="21"/>
      <c r="I39" s="21"/>
      <c r="J39" s="21"/>
      <c r="K39" s="21"/>
      <c r="L39" s="41" t="e">
        <f t="shared" si="2"/>
        <v>#DIV/0!</v>
      </c>
      <c r="M39" s="5"/>
    </row>
    <row r="40" spans="1:13" ht="18" customHeight="1">
      <c r="A40" s="25" t="s">
        <v>667</v>
      </c>
      <c r="B40" s="26"/>
      <c r="C40" s="12"/>
      <c r="D40" s="12"/>
      <c r="E40" s="11">
        <f t="shared" si="19"/>
        <v>0</v>
      </c>
      <c r="F40" s="40" t="e">
        <f t="shared" si="1"/>
        <v>#DIV/0!</v>
      </c>
      <c r="G40" s="11">
        <f t="shared" si="20"/>
        <v>0</v>
      </c>
      <c r="H40" s="21"/>
      <c r="I40" s="21"/>
      <c r="J40" s="21"/>
      <c r="K40" s="21"/>
      <c r="L40" s="41" t="e">
        <f t="shared" si="2"/>
        <v>#DIV/0!</v>
      </c>
      <c r="M40" s="5"/>
    </row>
    <row r="41" spans="1:13" ht="18" customHeight="1">
      <c r="A41" s="25" t="s">
        <v>668</v>
      </c>
      <c r="B41" s="11"/>
      <c r="C41" s="12"/>
      <c r="D41" s="12"/>
      <c r="E41" s="11">
        <f t="shared" si="19"/>
        <v>0</v>
      </c>
      <c r="F41" s="40" t="e">
        <f t="shared" si="1"/>
        <v>#DIV/0!</v>
      </c>
      <c r="G41" s="11">
        <f t="shared" si="20"/>
        <v>0</v>
      </c>
      <c r="H41" s="21"/>
      <c r="I41" s="21"/>
      <c r="J41" s="21"/>
      <c r="K41" s="21"/>
      <c r="L41" s="41" t="e">
        <f t="shared" si="2"/>
        <v>#DIV/0!</v>
      </c>
      <c r="M41" s="5"/>
    </row>
    <row r="42" spans="1:13" ht="18" customHeight="1">
      <c r="A42" s="25" t="s">
        <v>669</v>
      </c>
      <c r="B42" s="11"/>
      <c r="C42" s="12"/>
      <c r="D42" s="12"/>
      <c r="E42" s="11">
        <f t="shared" si="19"/>
        <v>0</v>
      </c>
      <c r="F42" s="40" t="e">
        <f t="shared" si="1"/>
        <v>#DIV/0!</v>
      </c>
      <c r="G42" s="11">
        <f t="shared" si="20"/>
        <v>12100</v>
      </c>
      <c r="H42" s="21"/>
      <c r="I42" s="21">
        <v>4840</v>
      </c>
      <c r="J42" s="21">
        <v>4840</v>
      </c>
      <c r="K42" s="21">
        <v>2420</v>
      </c>
      <c r="L42" s="41" t="e">
        <f t="shared" si="2"/>
        <v>#DIV/0!</v>
      </c>
      <c r="M42" s="5"/>
    </row>
    <row r="43" spans="1:13" ht="18" customHeight="1">
      <c r="A43" s="25" t="s">
        <v>670</v>
      </c>
      <c r="B43" s="11">
        <f aca="true" t="shared" si="21" ref="B43:K43">SUM(B44:B46)</f>
        <v>0</v>
      </c>
      <c r="C43" s="11">
        <f t="shared" si="21"/>
        <v>0</v>
      </c>
      <c r="D43" s="11">
        <f t="shared" si="21"/>
        <v>0</v>
      </c>
      <c r="E43" s="11">
        <f t="shared" si="21"/>
        <v>0</v>
      </c>
      <c r="F43" s="40" t="e">
        <f t="shared" si="1"/>
        <v>#DIV/0!</v>
      </c>
      <c r="G43" s="11">
        <f t="shared" si="21"/>
        <v>24750</v>
      </c>
      <c r="H43" s="11">
        <f t="shared" si="21"/>
        <v>0</v>
      </c>
      <c r="I43" s="11">
        <f t="shared" si="21"/>
        <v>8250</v>
      </c>
      <c r="J43" s="11">
        <f t="shared" si="21"/>
        <v>8250</v>
      </c>
      <c r="K43" s="11">
        <f t="shared" si="21"/>
        <v>8250</v>
      </c>
      <c r="L43" s="41" t="e">
        <f t="shared" si="2"/>
        <v>#DIV/0!</v>
      </c>
      <c r="M43" s="5"/>
    </row>
    <row r="44" spans="1:13" ht="18" customHeight="1">
      <c r="A44" s="25" t="s">
        <v>671</v>
      </c>
      <c r="B44" s="11"/>
      <c r="C44" s="12"/>
      <c r="D44" s="12"/>
      <c r="E44" s="11">
        <f aca="true" t="shared" si="22" ref="E44:E47">C44+D44</f>
        <v>0</v>
      </c>
      <c r="F44" s="40" t="e">
        <f t="shared" si="1"/>
        <v>#DIV/0!</v>
      </c>
      <c r="G44" s="11">
        <f aca="true" t="shared" si="23" ref="G44:G47">SUM(H44:K44)</f>
        <v>0</v>
      </c>
      <c r="H44" s="21"/>
      <c r="I44" s="21"/>
      <c r="J44" s="21"/>
      <c r="K44" s="21"/>
      <c r="L44" s="41" t="e">
        <f t="shared" si="2"/>
        <v>#DIV/0!</v>
      </c>
      <c r="M44" s="5"/>
    </row>
    <row r="45" spans="1:13" ht="18" customHeight="1">
      <c r="A45" s="25" t="s">
        <v>672</v>
      </c>
      <c r="B45" s="11"/>
      <c r="C45" s="12"/>
      <c r="D45" s="12"/>
      <c r="E45" s="11">
        <f t="shared" si="22"/>
        <v>0</v>
      </c>
      <c r="F45" s="40" t="e">
        <f t="shared" si="1"/>
        <v>#DIV/0!</v>
      </c>
      <c r="G45" s="11">
        <f t="shared" si="23"/>
        <v>0</v>
      </c>
      <c r="H45" s="21"/>
      <c r="I45" s="21"/>
      <c r="J45" s="21"/>
      <c r="K45" s="21"/>
      <c r="L45" s="41" t="e">
        <f t="shared" si="2"/>
        <v>#DIV/0!</v>
      </c>
      <c r="M45" s="5"/>
    </row>
    <row r="46" spans="1:13" ht="18" customHeight="1">
      <c r="A46" s="25" t="s">
        <v>673</v>
      </c>
      <c r="B46" s="11"/>
      <c r="C46" s="12"/>
      <c r="D46" s="12"/>
      <c r="E46" s="11">
        <f t="shared" si="22"/>
        <v>0</v>
      </c>
      <c r="F46" s="40" t="e">
        <f t="shared" si="1"/>
        <v>#DIV/0!</v>
      </c>
      <c r="G46" s="11">
        <f t="shared" si="23"/>
        <v>24750</v>
      </c>
      <c r="H46" s="21"/>
      <c r="I46" s="21">
        <f aca="true" t="shared" si="24" ref="I46:K46">55*600/4</f>
        <v>8250</v>
      </c>
      <c r="J46" s="21">
        <f t="shared" si="24"/>
        <v>8250</v>
      </c>
      <c r="K46" s="21">
        <f t="shared" si="24"/>
        <v>8250</v>
      </c>
      <c r="L46" s="41" t="e">
        <f t="shared" si="2"/>
        <v>#DIV/0!</v>
      </c>
      <c r="M46" s="5"/>
    </row>
    <row r="47" spans="1:13" ht="18" customHeight="1">
      <c r="A47" s="109" t="s">
        <v>674</v>
      </c>
      <c r="B47" s="110"/>
      <c r="C47" s="112"/>
      <c r="D47" s="112"/>
      <c r="E47" s="11">
        <f t="shared" si="22"/>
        <v>0</v>
      </c>
      <c r="F47" s="40" t="e">
        <f t="shared" si="1"/>
        <v>#DIV/0!</v>
      </c>
      <c r="G47" s="11">
        <f t="shared" si="23"/>
        <v>1136342.66065</v>
      </c>
      <c r="H47" s="112"/>
      <c r="I47" s="111">
        <f aca="true" t="shared" si="25" ref="I47:K47">I5</f>
        <v>524936.4299999999</v>
      </c>
      <c r="J47" s="111">
        <f t="shared" si="25"/>
        <v>489505.24295</v>
      </c>
      <c r="K47" s="111">
        <f t="shared" si="25"/>
        <v>121900.9877</v>
      </c>
      <c r="L47" s="41" t="e">
        <f t="shared" si="2"/>
        <v>#DIV/0!</v>
      </c>
      <c r="M47" s="5"/>
    </row>
    <row r="48" spans="1:13" ht="12.75">
      <c r="A48" s="25" t="s">
        <v>628</v>
      </c>
      <c r="B48" s="11"/>
      <c r="C48" s="12"/>
      <c r="D48" s="12"/>
      <c r="E48" s="11"/>
      <c r="F48" s="40"/>
      <c r="G48" s="11">
        <f>E5-E47+G5-G47</f>
        <v>0</v>
      </c>
      <c r="H48" s="12"/>
      <c r="I48" s="12"/>
      <c r="J48" s="12"/>
      <c r="K48" s="12"/>
      <c r="L48" s="41"/>
      <c r="M48" s="5"/>
    </row>
    <row r="49" spans="1:13" ht="12.75">
      <c r="A49" s="25"/>
      <c r="B49" s="11"/>
      <c r="C49" s="12"/>
      <c r="D49" s="12"/>
      <c r="E49" s="11"/>
      <c r="F49" s="40"/>
      <c r="G49" s="11"/>
      <c r="H49" s="12"/>
      <c r="I49" s="12"/>
      <c r="J49" s="12"/>
      <c r="K49" s="12"/>
      <c r="L49" s="41"/>
      <c r="M49" s="5"/>
    </row>
    <row r="50" spans="1:13" ht="12.75">
      <c r="A50" s="5"/>
      <c r="B50" s="5"/>
      <c r="C50" s="16"/>
      <c r="D50" s="4" t="s">
        <v>677</v>
      </c>
      <c r="E50" s="5"/>
      <c r="F50" s="5"/>
      <c r="G50" s="5"/>
      <c r="H50" s="16"/>
      <c r="I50" s="4" t="s">
        <v>678</v>
      </c>
      <c r="J50" s="5"/>
      <c r="K50" s="5"/>
      <c r="L50" s="5"/>
      <c r="M50" s="5"/>
    </row>
  </sheetData>
  <sheetProtection/>
  <mergeCells count="6">
    <mergeCell ref="A1:M1"/>
    <mergeCell ref="B3:F3"/>
    <mergeCell ref="G3:K3"/>
    <mergeCell ref="A3:A4"/>
    <mergeCell ref="L3:L4"/>
    <mergeCell ref="M3:M4"/>
  </mergeCells>
  <printOptions/>
  <pageMargins left="1.18" right="0.19" top="0.55" bottom="0.39" header="0.28" footer="0.16"/>
  <pageSetup fitToHeight="1" fitToWidth="1" horizontalDpi="300" verticalDpi="300" orientation="landscape" paperSize="9" scale="76"/>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M50"/>
  <sheetViews>
    <sheetView workbookViewId="0" topLeftCell="A1">
      <selection activeCell="A2" sqref="A2"/>
    </sheetView>
  </sheetViews>
  <sheetFormatPr defaultColWidth="9.140625" defaultRowHeight="12.75"/>
  <cols>
    <col min="1" max="1" width="30.28125" style="0" customWidth="1"/>
    <col min="2" max="2" width="13.140625" style="0" customWidth="1"/>
    <col min="3" max="3" width="10.7109375" style="0" customWidth="1"/>
    <col min="4" max="4" width="11.7109375" style="0" customWidth="1"/>
    <col min="5" max="6" width="10.7109375" style="0" customWidth="1"/>
    <col min="7" max="11" width="13.7109375" style="0" customWidth="1"/>
    <col min="12" max="13" width="10.7109375" style="0" customWidth="1"/>
  </cols>
  <sheetData>
    <row r="1" spans="1:13" ht="25.5" customHeight="1">
      <c r="A1" s="105" t="s">
        <v>682</v>
      </c>
      <c r="B1" s="23"/>
      <c r="C1" s="23" t="s">
        <v>598</v>
      </c>
      <c r="D1" s="23" t="s">
        <v>598</v>
      </c>
      <c r="E1" s="23" t="s">
        <v>598</v>
      </c>
      <c r="F1" s="23"/>
      <c r="G1" s="23" t="s">
        <v>598</v>
      </c>
      <c r="H1" s="23" t="s">
        <v>598</v>
      </c>
      <c r="I1" s="23" t="s">
        <v>598</v>
      </c>
      <c r="J1" s="23" t="s">
        <v>598</v>
      </c>
      <c r="K1" s="23" t="s">
        <v>598</v>
      </c>
      <c r="L1" s="23" t="s">
        <v>598</v>
      </c>
      <c r="M1" s="23" t="s">
        <v>598</v>
      </c>
    </row>
    <row r="2" spans="1:13" ht="18" customHeight="1">
      <c r="A2" s="106" t="s">
        <v>364</v>
      </c>
      <c r="B2" s="107"/>
      <c r="C2" s="45"/>
      <c r="D2" s="46"/>
      <c r="E2" s="47"/>
      <c r="F2" s="55"/>
      <c r="G2" s="24" t="s">
        <v>288</v>
      </c>
      <c r="H2" s="5"/>
      <c r="I2" s="5"/>
      <c r="J2" s="5"/>
      <c r="K2" s="5"/>
      <c r="L2" s="16" t="s">
        <v>599</v>
      </c>
      <c r="M2" s="5"/>
    </row>
    <row r="3" spans="1:13" ht="18" customHeight="1">
      <c r="A3" s="18" t="s">
        <v>290</v>
      </c>
      <c r="B3" s="90" t="s">
        <v>366</v>
      </c>
      <c r="C3" s="38"/>
      <c r="D3" s="38"/>
      <c r="E3" s="38"/>
      <c r="F3" s="39"/>
      <c r="G3" s="9" t="s">
        <v>292</v>
      </c>
      <c r="H3" s="9"/>
      <c r="I3" s="9" t="s">
        <v>292</v>
      </c>
      <c r="J3" s="9" t="s">
        <v>292</v>
      </c>
      <c r="K3" s="9" t="s">
        <v>292</v>
      </c>
      <c r="L3" s="9" t="s">
        <v>293</v>
      </c>
      <c r="M3" s="18" t="s">
        <v>33</v>
      </c>
    </row>
    <row r="4" spans="1:13" ht="18" customHeight="1">
      <c r="A4" s="18"/>
      <c r="B4" s="9" t="s">
        <v>294</v>
      </c>
      <c r="C4" s="9" t="s">
        <v>463</v>
      </c>
      <c r="D4" s="9" t="s">
        <v>296</v>
      </c>
      <c r="E4" s="9" t="s">
        <v>464</v>
      </c>
      <c r="F4" s="9" t="s">
        <v>299</v>
      </c>
      <c r="G4" s="9" t="s">
        <v>314</v>
      </c>
      <c r="H4" s="9" t="s">
        <v>324</v>
      </c>
      <c r="I4" s="9" t="s">
        <v>331</v>
      </c>
      <c r="J4" s="9" t="s">
        <v>334</v>
      </c>
      <c r="K4" s="9" t="s">
        <v>336</v>
      </c>
      <c r="L4" s="9" t="s">
        <v>293</v>
      </c>
      <c r="M4" s="18" t="s">
        <v>33</v>
      </c>
    </row>
    <row r="5" spans="1:13" ht="18" customHeight="1">
      <c r="A5" s="25" t="s">
        <v>632</v>
      </c>
      <c r="B5" s="11">
        <f aca="true" t="shared" si="0" ref="B5:K5">B6+B32+B43</f>
        <v>0</v>
      </c>
      <c r="C5" s="11">
        <f t="shared" si="0"/>
        <v>0</v>
      </c>
      <c r="D5" s="11">
        <f t="shared" si="0"/>
        <v>0</v>
      </c>
      <c r="E5" s="11">
        <f t="shared" si="0"/>
        <v>0</v>
      </c>
      <c r="F5" s="40" t="e">
        <f aca="true" t="shared" si="1" ref="F5:F47">E5/B5</f>
        <v>#DIV/0!</v>
      </c>
      <c r="G5" s="11">
        <f t="shared" si="0"/>
        <v>375041.61035000003</v>
      </c>
      <c r="H5" s="11">
        <f t="shared" si="0"/>
        <v>0</v>
      </c>
      <c r="I5" s="11">
        <f t="shared" si="0"/>
        <v>0</v>
      </c>
      <c r="J5" s="11">
        <f t="shared" si="0"/>
        <v>208831.18705</v>
      </c>
      <c r="K5" s="11">
        <f t="shared" si="0"/>
        <v>166210.4233</v>
      </c>
      <c r="L5" s="41" t="e">
        <f aca="true" t="shared" si="2" ref="L5:L47">G5/E5</f>
        <v>#DIV/0!</v>
      </c>
      <c r="M5" s="5"/>
    </row>
    <row r="6" spans="1:13" ht="18" customHeight="1">
      <c r="A6" s="25" t="s">
        <v>633</v>
      </c>
      <c r="B6" s="11">
        <f aca="true" t="shared" si="3" ref="B6:K6">B7+B26+B27</f>
        <v>0</v>
      </c>
      <c r="C6" s="11">
        <f t="shared" si="3"/>
        <v>0</v>
      </c>
      <c r="D6" s="11">
        <f t="shared" si="3"/>
        <v>0</v>
      </c>
      <c r="E6" s="11">
        <f t="shared" si="3"/>
        <v>0</v>
      </c>
      <c r="F6" s="40" t="e">
        <f t="shared" si="1"/>
        <v>#DIV/0!</v>
      </c>
      <c r="G6" s="11">
        <f t="shared" si="3"/>
        <v>359041.61035000003</v>
      </c>
      <c r="H6" s="11">
        <f t="shared" si="3"/>
        <v>0</v>
      </c>
      <c r="I6" s="11">
        <f t="shared" si="3"/>
        <v>0</v>
      </c>
      <c r="J6" s="11">
        <f t="shared" si="3"/>
        <v>200831.18705</v>
      </c>
      <c r="K6" s="11">
        <f t="shared" si="3"/>
        <v>158210.4233</v>
      </c>
      <c r="L6" s="41" t="e">
        <f t="shared" si="2"/>
        <v>#DIV/0!</v>
      </c>
      <c r="M6" s="5"/>
    </row>
    <row r="7" spans="1:13" ht="18" customHeight="1">
      <c r="A7" s="72" t="s">
        <v>634</v>
      </c>
      <c r="B7" s="11">
        <f aca="true" t="shared" si="4" ref="B7:K7">B8+B16+B20+B23+B24+B25</f>
        <v>0</v>
      </c>
      <c r="C7" s="11">
        <f t="shared" si="4"/>
        <v>0</v>
      </c>
      <c r="D7" s="11">
        <f t="shared" si="4"/>
        <v>0</v>
      </c>
      <c r="E7" s="11">
        <f t="shared" si="4"/>
        <v>0</v>
      </c>
      <c r="F7" s="40" t="e">
        <f t="shared" si="1"/>
        <v>#DIV/0!</v>
      </c>
      <c r="G7" s="11">
        <f t="shared" si="4"/>
        <v>39041.61035000001</v>
      </c>
      <c r="H7" s="11">
        <f t="shared" si="4"/>
        <v>0</v>
      </c>
      <c r="I7" s="11">
        <f t="shared" si="4"/>
        <v>0</v>
      </c>
      <c r="J7" s="11">
        <f t="shared" si="4"/>
        <v>32831.18705000001</v>
      </c>
      <c r="K7" s="11">
        <f t="shared" si="4"/>
        <v>6210.4233</v>
      </c>
      <c r="L7" s="41" t="e">
        <f t="shared" si="2"/>
        <v>#DIV/0!</v>
      </c>
      <c r="M7" s="5"/>
    </row>
    <row r="8" spans="1:13" ht="18" customHeight="1">
      <c r="A8" s="72" t="s">
        <v>635</v>
      </c>
      <c r="B8" s="11">
        <f aca="true" t="shared" si="5" ref="B8:K8">B9+B10+B14+B15</f>
        <v>0</v>
      </c>
      <c r="C8" s="11">
        <f t="shared" si="5"/>
        <v>0</v>
      </c>
      <c r="D8" s="11">
        <f t="shared" si="5"/>
        <v>0</v>
      </c>
      <c r="E8" s="11">
        <f t="shared" si="5"/>
        <v>0</v>
      </c>
      <c r="F8" s="40" t="e">
        <f t="shared" si="1"/>
        <v>#DIV/0!</v>
      </c>
      <c r="G8" s="11">
        <f t="shared" si="5"/>
        <v>29823.410000000003</v>
      </c>
      <c r="H8" s="11">
        <f t="shared" si="5"/>
        <v>0</v>
      </c>
      <c r="I8" s="11">
        <f t="shared" si="5"/>
        <v>0</v>
      </c>
      <c r="J8" s="11">
        <f t="shared" si="5"/>
        <v>25107.83</v>
      </c>
      <c r="K8" s="11">
        <f t="shared" si="5"/>
        <v>4715.58</v>
      </c>
      <c r="L8" s="41" t="e">
        <f t="shared" si="2"/>
        <v>#DIV/0!</v>
      </c>
      <c r="M8" s="5"/>
    </row>
    <row r="9" spans="1:13" ht="18" customHeight="1">
      <c r="A9" s="72" t="s">
        <v>636</v>
      </c>
      <c r="B9" s="11"/>
      <c r="C9" s="15"/>
      <c r="D9" s="12"/>
      <c r="E9" s="11">
        <f aca="true" t="shared" si="6" ref="E9:E15">C9+D9</f>
        <v>0</v>
      </c>
      <c r="F9" s="40" t="e">
        <f t="shared" si="1"/>
        <v>#DIV/0!</v>
      </c>
      <c r="G9" s="11">
        <f aca="true" t="shared" si="7" ref="G9:G15">SUM(H9:K9)</f>
        <v>15118.2</v>
      </c>
      <c r="H9" s="12"/>
      <c r="I9" s="12"/>
      <c r="J9" s="21">
        <f>('[5]1)人工成本'!$E$25-'[5]1)人工成本'!$E$20)*3*31%</f>
        <v>12666.6</v>
      </c>
      <c r="K9" s="21">
        <f>('[5]1)人工成本'!$E$25-'[5]1)人工成本'!$E$20)*3*6%</f>
        <v>2451.6</v>
      </c>
      <c r="L9" s="41" t="e">
        <f t="shared" si="2"/>
        <v>#DIV/0!</v>
      </c>
      <c r="M9" s="5"/>
    </row>
    <row r="10" spans="1:13" ht="18" customHeight="1">
      <c r="A10" s="72" t="s">
        <v>637</v>
      </c>
      <c r="B10" s="11">
        <f aca="true" t="shared" si="8" ref="B10:K10">SUM(B11:B13)</f>
        <v>0</v>
      </c>
      <c r="C10" s="11">
        <f t="shared" si="8"/>
        <v>0</v>
      </c>
      <c r="D10" s="11">
        <f t="shared" si="8"/>
        <v>0</v>
      </c>
      <c r="E10" s="11">
        <f t="shared" si="8"/>
        <v>0</v>
      </c>
      <c r="F10" s="40" t="e">
        <f t="shared" si="1"/>
        <v>#DIV/0!</v>
      </c>
      <c r="G10" s="11">
        <f t="shared" si="8"/>
        <v>11046.35</v>
      </c>
      <c r="H10" s="11">
        <f t="shared" si="8"/>
        <v>0</v>
      </c>
      <c r="I10" s="11">
        <f t="shared" si="8"/>
        <v>0</v>
      </c>
      <c r="J10" s="11">
        <f t="shared" si="8"/>
        <v>9255.05</v>
      </c>
      <c r="K10" s="11">
        <f t="shared" si="8"/>
        <v>1791.3</v>
      </c>
      <c r="L10" s="41" t="e">
        <f t="shared" si="2"/>
        <v>#DIV/0!</v>
      </c>
      <c r="M10" s="5"/>
    </row>
    <row r="11" spans="1:13" ht="18" customHeight="1">
      <c r="A11" s="75" t="s">
        <v>638</v>
      </c>
      <c r="B11" s="11"/>
      <c r="C11" s="15"/>
      <c r="D11" s="12"/>
      <c r="E11" s="11">
        <f t="shared" si="6"/>
        <v>0</v>
      </c>
      <c r="F11" s="40" t="e">
        <f t="shared" si="1"/>
        <v>#DIV/0!</v>
      </c>
      <c r="G11" s="11">
        <f t="shared" si="7"/>
        <v>0</v>
      </c>
      <c r="H11" s="12"/>
      <c r="I11" s="12"/>
      <c r="J11" s="21"/>
      <c r="K11" s="12"/>
      <c r="L11" s="41" t="e">
        <f t="shared" si="2"/>
        <v>#DIV/0!</v>
      </c>
      <c r="M11" s="5"/>
    </row>
    <row r="12" spans="1:13" ht="18" customHeight="1">
      <c r="A12" s="75" t="s">
        <v>639</v>
      </c>
      <c r="B12" s="11"/>
      <c r="C12" s="15"/>
      <c r="D12" s="12"/>
      <c r="E12" s="11">
        <f t="shared" si="6"/>
        <v>0</v>
      </c>
      <c r="F12" s="40" t="e">
        <f t="shared" si="1"/>
        <v>#DIV/0!</v>
      </c>
      <c r="G12" s="11">
        <f t="shared" si="7"/>
        <v>4107</v>
      </c>
      <c r="H12" s="12"/>
      <c r="I12" s="12"/>
      <c r="J12" s="21">
        <f>('[5]1)人工成本'!$V$25-'[5]1)人工成本'!$V$20)*3*31%</f>
        <v>3441</v>
      </c>
      <c r="K12" s="21">
        <f>('[5]1)人工成本'!$V$25-'[5]1)人工成本'!$V$20)*3*6%</f>
        <v>666</v>
      </c>
      <c r="L12" s="41" t="e">
        <f t="shared" si="2"/>
        <v>#DIV/0!</v>
      </c>
      <c r="M12" s="5"/>
    </row>
    <row r="13" spans="1:13" ht="18" customHeight="1">
      <c r="A13" s="75" t="s">
        <v>640</v>
      </c>
      <c r="B13" s="11"/>
      <c r="C13" s="15"/>
      <c r="D13" s="12"/>
      <c r="E13" s="11">
        <f t="shared" si="6"/>
        <v>0</v>
      </c>
      <c r="F13" s="40" t="e">
        <f t="shared" si="1"/>
        <v>#DIV/0!</v>
      </c>
      <c r="G13" s="11">
        <f t="shared" si="7"/>
        <v>6939.35</v>
      </c>
      <c r="H13" s="12"/>
      <c r="I13" s="12"/>
      <c r="J13" s="21">
        <f>('[5]1)人工成本'!$X$25-'[5]1)人工成本'!$X$20)/4*31%</f>
        <v>5814.05</v>
      </c>
      <c r="K13" s="21">
        <f>('[5]1)人工成本'!$X$25-'[5]1)人工成本'!$X$20)/4*6%</f>
        <v>1125.3</v>
      </c>
      <c r="L13" s="41" t="e">
        <f t="shared" si="2"/>
        <v>#DIV/0!</v>
      </c>
      <c r="M13" s="5"/>
    </row>
    <row r="14" spans="1:13" ht="18" customHeight="1">
      <c r="A14" s="72" t="s">
        <v>641</v>
      </c>
      <c r="B14" s="11"/>
      <c r="C14" s="15"/>
      <c r="D14" s="12"/>
      <c r="E14" s="11">
        <f t="shared" si="6"/>
        <v>0</v>
      </c>
      <c r="F14" s="40" t="e">
        <f t="shared" si="1"/>
        <v>#DIV/0!</v>
      </c>
      <c r="G14" s="11">
        <f t="shared" si="7"/>
        <v>3658.8599999999997</v>
      </c>
      <c r="H14" s="12"/>
      <c r="I14" s="12"/>
      <c r="J14" s="21">
        <f>('[5]1)人工成本'!$G$25-'[5]1)人工成本'!$G$20+'[5]1)人工成本'!$H$25+'[5]1)人工成本'!$I$25-'[5]1)人工成本'!$I$20+'[5]1)人工成本'!$J$25-'[5]1)人工成本'!$J$20+'[5]1)人工成本'!$K$25-'[5]1)人工成本'!$K$20)*3*31%</f>
        <v>3186.18</v>
      </c>
      <c r="K14" s="21">
        <f>(('[5]1)人工成本'!$G$25-'[5]1)人工成本'!$G$20+'[5]1)人工成本'!$H$25+'[5]1)人工成本'!$I$25-'[5]1)人工成本'!$I$20+'[5]1)人工成本'!$J$25-'[5]1)人工成本'!$J$20)*3+'[5]1)人工成本'!$K$25-'[5]1)人工成本'!$K$20)*6%</f>
        <v>472.68</v>
      </c>
      <c r="L14" s="41" t="e">
        <f t="shared" si="2"/>
        <v>#DIV/0!</v>
      </c>
      <c r="M14" s="5"/>
    </row>
    <row r="15" spans="1:13" ht="18" customHeight="1">
      <c r="A15" s="72" t="s">
        <v>642</v>
      </c>
      <c r="B15" s="11"/>
      <c r="C15" s="15"/>
      <c r="D15" s="12"/>
      <c r="E15" s="11">
        <f t="shared" si="6"/>
        <v>0</v>
      </c>
      <c r="F15" s="40" t="e">
        <f t="shared" si="1"/>
        <v>#DIV/0!</v>
      </c>
      <c r="G15" s="11">
        <f t="shared" si="7"/>
        <v>0</v>
      </c>
      <c r="H15" s="12"/>
      <c r="I15" s="12"/>
      <c r="J15" s="21"/>
      <c r="K15" s="12"/>
      <c r="L15" s="41" t="e">
        <f t="shared" si="2"/>
        <v>#DIV/0!</v>
      </c>
      <c r="M15" s="5"/>
    </row>
    <row r="16" spans="1:13" ht="18" customHeight="1">
      <c r="A16" s="72" t="s">
        <v>643</v>
      </c>
      <c r="B16" s="11">
        <f aca="true" t="shared" si="9" ref="B16:K16">SUM(B17:B19)</f>
        <v>0</v>
      </c>
      <c r="C16" s="11">
        <f t="shared" si="9"/>
        <v>0</v>
      </c>
      <c r="D16" s="11">
        <f t="shared" si="9"/>
        <v>0</v>
      </c>
      <c r="E16" s="11">
        <f t="shared" si="9"/>
        <v>0</v>
      </c>
      <c r="F16" s="40" t="e">
        <f t="shared" si="1"/>
        <v>#DIV/0!</v>
      </c>
      <c r="G16" s="11">
        <f t="shared" si="9"/>
        <v>0</v>
      </c>
      <c r="H16" s="11">
        <f t="shared" si="9"/>
        <v>0</v>
      </c>
      <c r="I16" s="11">
        <f t="shared" si="9"/>
        <v>0</v>
      </c>
      <c r="J16" s="11">
        <f t="shared" si="9"/>
        <v>0</v>
      </c>
      <c r="K16" s="11">
        <f t="shared" si="9"/>
        <v>0</v>
      </c>
      <c r="L16" s="41" t="e">
        <f t="shared" si="2"/>
        <v>#DIV/0!</v>
      </c>
      <c r="M16" s="5"/>
    </row>
    <row r="17" spans="1:13" ht="18" customHeight="1">
      <c r="A17" s="72" t="s">
        <v>644</v>
      </c>
      <c r="B17" s="11"/>
      <c r="C17" s="15"/>
      <c r="D17" s="12"/>
      <c r="E17" s="11">
        <f aca="true" t="shared" si="10" ref="E17:E19">C17+D17</f>
        <v>0</v>
      </c>
      <c r="F17" s="40" t="e">
        <f t="shared" si="1"/>
        <v>#DIV/0!</v>
      </c>
      <c r="G17" s="11">
        <f aca="true" t="shared" si="11" ref="G17:G19">SUM(H17:K17)</f>
        <v>0</v>
      </c>
      <c r="H17" s="12"/>
      <c r="I17" s="12"/>
      <c r="J17" s="21"/>
      <c r="K17" s="12"/>
      <c r="L17" s="41" t="e">
        <f t="shared" si="2"/>
        <v>#DIV/0!</v>
      </c>
      <c r="M17" s="5"/>
    </row>
    <row r="18" spans="1:13" ht="18" customHeight="1">
      <c r="A18" s="72" t="s">
        <v>645</v>
      </c>
      <c r="B18" s="11"/>
      <c r="C18" s="15"/>
      <c r="D18" s="12"/>
      <c r="E18" s="11">
        <f t="shared" si="10"/>
        <v>0</v>
      </c>
      <c r="F18" s="40" t="e">
        <f t="shared" si="1"/>
        <v>#DIV/0!</v>
      </c>
      <c r="G18" s="11">
        <f t="shared" si="11"/>
        <v>0</v>
      </c>
      <c r="H18" s="12"/>
      <c r="I18" s="12"/>
      <c r="J18" s="21"/>
      <c r="K18" s="12"/>
      <c r="L18" s="41" t="e">
        <f t="shared" si="2"/>
        <v>#DIV/0!</v>
      </c>
      <c r="M18" s="5"/>
    </row>
    <row r="19" spans="1:13" ht="18" customHeight="1">
      <c r="A19" s="72" t="s">
        <v>646</v>
      </c>
      <c r="B19" s="11"/>
      <c r="C19" s="15"/>
      <c r="D19" s="12"/>
      <c r="E19" s="11">
        <f t="shared" si="10"/>
        <v>0</v>
      </c>
      <c r="F19" s="40" t="e">
        <f t="shared" si="1"/>
        <v>#DIV/0!</v>
      </c>
      <c r="G19" s="11">
        <f t="shared" si="11"/>
        <v>0</v>
      </c>
      <c r="H19" s="12"/>
      <c r="I19" s="12"/>
      <c r="J19" s="21"/>
      <c r="K19" s="12"/>
      <c r="L19" s="41" t="e">
        <f t="shared" si="2"/>
        <v>#DIV/0!</v>
      </c>
      <c r="M19" s="5"/>
    </row>
    <row r="20" spans="1:13" ht="18" customHeight="1">
      <c r="A20" s="72" t="s">
        <v>647</v>
      </c>
      <c r="B20" s="11">
        <f aca="true" t="shared" si="12" ref="B20:K20">SUM(B21:B22)</f>
        <v>0</v>
      </c>
      <c r="C20" s="11">
        <f t="shared" si="12"/>
        <v>0</v>
      </c>
      <c r="D20" s="11">
        <f t="shared" si="12"/>
        <v>0</v>
      </c>
      <c r="E20" s="11">
        <f t="shared" si="12"/>
        <v>0</v>
      </c>
      <c r="F20" s="40" t="e">
        <f t="shared" si="1"/>
        <v>#DIV/0!</v>
      </c>
      <c r="G20" s="11">
        <f t="shared" si="12"/>
        <v>5773.332000000001</v>
      </c>
      <c r="H20" s="11">
        <f t="shared" si="12"/>
        <v>0</v>
      </c>
      <c r="I20" s="11">
        <f t="shared" si="12"/>
        <v>0</v>
      </c>
      <c r="J20" s="11">
        <f t="shared" si="12"/>
        <v>4837.116000000001</v>
      </c>
      <c r="K20" s="11">
        <f t="shared" si="12"/>
        <v>936.216</v>
      </c>
      <c r="L20" s="41" t="e">
        <f t="shared" si="2"/>
        <v>#DIV/0!</v>
      </c>
      <c r="M20" s="5"/>
    </row>
    <row r="21" spans="1:13" ht="18" customHeight="1">
      <c r="A21" s="72" t="s">
        <v>648</v>
      </c>
      <c r="B21" s="11"/>
      <c r="C21" s="15"/>
      <c r="D21" s="12"/>
      <c r="E21" s="11">
        <f aca="true" t="shared" si="13" ref="E21:E26">C21+D21</f>
        <v>0</v>
      </c>
      <c r="F21" s="40" t="e">
        <f t="shared" si="1"/>
        <v>#DIV/0!</v>
      </c>
      <c r="G21" s="11">
        <f aca="true" t="shared" si="14" ref="G21:G26">SUM(H21:K21)</f>
        <v>5593.112400000001</v>
      </c>
      <c r="H21" s="12"/>
      <c r="I21" s="12"/>
      <c r="J21" s="21">
        <f>('[5]1)人工成本'!$N$25+'[5]1)人工成本'!$O$25+'[5]1)人工成本'!$P$25+'[5]1)人工成本'!$Q$25-'[5]1)人工成本'!$N$20-'[5]1)人工成本'!$O$20-'[5]1)人工成本'!$P$20-'[5]1)人工成本'!$Q$20)*3*31%</f>
        <v>4686.1212000000005</v>
      </c>
      <c r="K21" s="21">
        <f>('[5]1)人工成本'!$N$25+'[5]1)人工成本'!$O$25+'[5]1)人工成本'!$P$25+'[5]1)人工成本'!$Q$25-'[5]1)人工成本'!$N$20-'[5]1)人工成本'!$O$20-'[5]1)人工成本'!$P$20-'[5]1)人工成本'!$Q$20)*3*6%</f>
        <v>906.9912</v>
      </c>
      <c r="L21" s="41" t="e">
        <f t="shared" si="2"/>
        <v>#DIV/0!</v>
      </c>
      <c r="M21" s="5"/>
    </row>
    <row r="22" spans="1:13" ht="18" customHeight="1">
      <c r="A22" s="72" t="s">
        <v>649</v>
      </c>
      <c r="B22" s="11"/>
      <c r="C22" s="15"/>
      <c r="D22" s="12"/>
      <c r="E22" s="11">
        <f t="shared" si="13"/>
        <v>0</v>
      </c>
      <c r="F22" s="40" t="e">
        <f t="shared" si="1"/>
        <v>#DIV/0!</v>
      </c>
      <c r="G22" s="11">
        <f t="shared" si="14"/>
        <v>180.21960000000007</v>
      </c>
      <c r="H22" s="12"/>
      <c r="I22" s="12"/>
      <c r="J22" s="21">
        <f>'[5]1)人工成本'!$AI$25*3*31%</f>
        <v>150.99480000000005</v>
      </c>
      <c r="K22" s="21">
        <f>'[5]1)人工成本'!$AI$25*3*6%</f>
        <v>29.224800000000013</v>
      </c>
      <c r="L22" s="41" t="e">
        <f t="shared" si="2"/>
        <v>#DIV/0!</v>
      </c>
      <c r="M22" s="5"/>
    </row>
    <row r="23" spans="1:13" ht="18" customHeight="1">
      <c r="A23" s="72" t="s">
        <v>650</v>
      </c>
      <c r="B23" s="11"/>
      <c r="C23" s="15"/>
      <c r="D23" s="12"/>
      <c r="E23" s="11">
        <f t="shared" si="13"/>
        <v>0</v>
      </c>
      <c r="F23" s="40" t="e">
        <f t="shared" si="1"/>
        <v>#DIV/0!</v>
      </c>
      <c r="G23" s="11">
        <f t="shared" si="14"/>
        <v>2447.55</v>
      </c>
      <c r="H23" s="12"/>
      <c r="I23" s="12"/>
      <c r="J23" s="21">
        <f>('[5]1)人工成本'!$S$25-'[5]1)人工成本'!$S$20)*3*31%</f>
        <v>2050.65</v>
      </c>
      <c r="K23" s="21">
        <f>('[5]1)人工成本'!$S$25-'[5]1)人工成本'!$S$20)*3*6%</f>
        <v>396.9</v>
      </c>
      <c r="L23" s="41" t="e">
        <f t="shared" si="2"/>
        <v>#DIV/0!</v>
      </c>
      <c r="M23" s="5"/>
    </row>
    <row r="24" spans="1:13" ht="18" customHeight="1">
      <c r="A24" s="72" t="s">
        <v>651</v>
      </c>
      <c r="B24" s="11"/>
      <c r="C24" s="15"/>
      <c r="D24" s="12"/>
      <c r="E24" s="11">
        <f t="shared" si="13"/>
        <v>0</v>
      </c>
      <c r="F24" s="40" t="e">
        <f t="shared" si="1"/>
        <v>#DIV/0!</v>
      </c>
      <c r="G24" s="11">
        <f t="shared" si="14"/>
        <v>427.42214999999993</v>
      </c>
      <c r="H24" s="12"/>
      <c r="I24" s="12"/>
      <c r="J24" s="21">
        <f>('[5]1)人工成本'!$U$25-'[5]1)人工成本'!$U$20)/4*31%</f>
        <v>358.11044999999996</v>
      </c>
      <c r="K24" s="21">
        <f>('[5]1)人工成本'!$U$25-'[5]1)人工成本'!$U$20)/4*6%</f>
        <v>69.31169999999999</v>
      </c>
      <c r="L24" s="41" t="e">
        <f t="shared" si="2"/>
        <v>#DIV/0!</v>
      </c>
      <c r="M24" s="5"/>
    </row>
    <row r="25" spans="1:13" ht="18" customHeight="1">
      <c r="A25" s="72" t="s">
        <v>652</v>
      </c>
      <c r="B25" s="11"/>
      <c r="C25" s="15"/>
      <c r="D25" s="12"/>
      <c r="E25" s="11">
        <f t="shared" si="13"/>
        <v>0</v>
      </c>
      <c r="F25" s="40" t="e">
        <f t="shared" si="1"/>
        <v>#DIV/0!</v>
      </c>
      <c r="G25" s="11">
        <f t="shared" si="14"/>
        <v>569.8962</v>
      </c>
      <c r="H25" s="12"/>
      <c r="I25" s="12"/>
      <c r="J25" s="21">
        <f>('[5]1)人工成本'!$T$25-'[5]1)人工成本'!$T$20)/4*31%</f>
        <v>477.48060000000004</v>
      </c>
      <c r="K25" s="21">
        <f>('[5]1)人工成本'!$T$25-'[5]1)人工成本'!$T$20)/4*6%</f>
        <v>92.41560000000001</v>
      </c>
      <c r="L25" s="41" t="e">
        <f t="shared" si="2"/>
        <v>#DIV/0!</v>
      </c>
      <c r="M25" s="5"/>
    </row>
    <row r="26" spans="1:13" ht="18" customHeight="1">
      <c r="A26" s="108" t="s">
        <v>653</v>
      </c>
      <c r="B26" s="11"/>
      <c r="C26" s="15"/>
      <c r="D26" s="12"/>
      <c r="E26" s="11">
        <f t="shared" si="13"/>
        <v>0</v>
      </c>
      <c r="F26" s="40" t="e">
        <f t="shared" si="1"/>
        <v>#DIV/0!</v>
      </c>
      <c r="G26" s="11">
        <f t="shared" si="14"/>
        <v>24000</v>
      </c>
      <c r="H26" s="12"/>
      <c r="I26" s="12"/>
      <c r="J26" s="21">
        <v>12000</v>
      </c>
      <c r="K26" s="21">
        <v>12000</v>
      </c>
      <c r="L26" s="41" t="e">
        <f t="shared" si="2"/>
        <v>#DIV/0!</v>
      </c>
      <c r="M26" s="5"/>
    </row>
    <row r="27" spans="1:13" ht="18" customHeight="1">
      <c r="A27" s="108" t="s">
        <v>654</v>
      </c>
      <c r="B27" s="11">
        <f aca="true" t="shared" si="15" ref="B27:K27">SUM(B28:B31)</f>
        <v>0</v>
      </c>
      <c r="C27" s="11">
        <f t="shared" si="15"/>
        <v>0</v>
      </c>
      <c r="D27" s="11">
        <f t="shared" si="15"/>
        <v>0</v>
      </c>
      <c r="E27" s="11">
        <f t="shared" si="15"/>
        <v>0</v>
      </c>
      <c r="F27" s="40" t="e">
        <f t="shared" si="1"/>
        <v>#DIV/0!</v>
      </c>
      <c r="G27" s="11">
        <f t="shared" si="15"/>
        <v>296000</v>
      </c>
      <c r="H27" s="11">
        <f t="shared" si="15"/>
        <v>0</v>
      </c>
      <c r="I27" s="11">
        <f t="shared" si="15"/>
        <v>0</v>
      </c>
      <c r="J27" s="11">
        <f t="shared" si="15"/>
        <v>156000</v>
      </c>
      <c r="K27" s="11">
        <f t="shared" si="15"/>
        <v>140000</v>
      </c>
      <c r="L27" s="41" t="e">
        <f t="shared" si="2"/>
        <v>#DIV/0!</v>
      </c>
      <c r="M27" s="5"/>
    </row>
    <row r="28" spans="1:13" ht="18" customHeight="1">
      <c r="A28" s="108" t="s">
        <v>655</v>
      </c>
      <c r="B28" s="11"/>
      <c r="C28" s="15"/>
      <c r="D28" s="12"/>
      <c r="E28" s="11">
        <f aca="true" t="shared" si="16" ref="E28:E31">C28+D28</f>
        <v>0</v>
      </c>
      <c r="F28" s="40" t="e">
        <f t="shared" si="1"/>
        <v>#DIV/0!</v>
      </c>
      <c r="G28" s="11">
        <f aca="true" t="shared" si="17" ref="G28:G31">SUM(H28:K28)</f>
        <v>16000</v>
      </c>
      <c r="H28" s="12"/>
      <c r="I28" s="12"/>
      <c r="J28" s="21">
        <v>16000</v>
      </c>
      <c r="K28" s="21"/>
      <c r="L28" s="41" t="e">
        <f t="shared" si="2"/>
        <v>#DIV/0!</v>
      </c>
      <c r="M28" s="5"/>
    </row>
    <row r="29" spans="1:13" ht="18" customHeight="1">
      <c r="A29" s="108" t="s">
        <v>656</v>
      </c>
      <c r="B29" s="11"/>
      <c r="C29" s="15"/>
      <c r="D29" s="12"/>
      <c r="E29" s="11">
        <f t="shared" si="16"/>
        <v>0</v>
      </c>
      <c r="F29" s="40" t="e">
        <f t="shared" si="1"/>
        <v>#DIV/0!</v>
      </c>
      <c r="G29" s="11">
        <f t="shared" si="17"/>
        <v>264000</v>
      </c>
      <c r="H29" s="12"/>
      <c r="I29" s="12"/>
      <c r="J29" s="21">
        <v>132000</v>
      </c>
      <c r="K29" s="21">
        <v>132000</v>
      </c>
      <c r="L29" s="41" t="e">
        <f t="shared" si="2"/>
        <v>#DIV/0!</v>
      </c>
      <c r="M29" s="5"/>
    </row>
    <row r="30" spans="1:13" ht="18" customHeight="1">
      <c r="A30" s="108" t="s">
        <v>657</v>
      </c>
      <c r="B30" s="11"/>
      <c r="C30" s="15"/>
      <c r="D30" s="12"/>
      <c r="E30" s="11">
        <f t="shared" si="16"/>
        <v>0</v>
      </c>
      <c r="F30" s="40" t="e">
        <f t="shared" si="1"/>
        <v>#DIV/0!</v>
      </c>
      <c r="G30" s="11">
        <f t="shared" si="17"/>
        <v>16000</v>
      </c>
      <c r="H30" s="12"/>
      <c r="I30" s="12"/>
      <c r="J30" s="21">
        <v>8000</v>
      </c>
      <c r="K30" s="21">
        <v>8000</v>
      </c>
      <c r="L30" s="41" t="e">
        <f t="shared" si="2"/>
        <v>#DIV/0!</v>
      </c>
      <c r="M30" s="5"/>
    </row>
    <row r="31" spans="1:13" ht="18" customHeight="1">
      <c r="A31" s="108" t="s">
        <v>658</v>
      </c>
      <c r="B31" s="11"/>
      <c r="C31" s="15"/>
      <c r="D31" s="12"/>
      <c r="E31" s="11">
        <f t="shared" si="16"/>
        <v>0</v>
      </c>
      <c r="F31" s="40" t="e">
        <f t="shared" si="1"/>
        <v>#DIV/0!</v>
      </c>
      <c r="G31" s="11">
        <f t="shared" si="17"/>
        <v>0</v>
      </c>
      <c r="H31" s="12"/>
      <c r="I31" s="12"/>
      <c r="J31" s="12"/>
      <c r="K31" s="12"/>
      <c r="L31" s="41" t="e">
        <f t="shared" si="2"/>
        <v>#DIV/0!</v>
      </c>
      <c r="M31" s="5"/>
    </row>
    <row r="32" spans="1:13" ht="18" customHeight="1">
      <c r="A32" s="25" t="s">
        <v>659</v>
      </c>
      <c r="B32" s="26">
        <f aca="true" t="shared" si="18" ref="B32:K32">SUM(B33:B42)</f>
        <v>0</v>
      </c>
      <c r="C32" s="26">
        <f t="shared" si="18"/>
        <v>0</v>
      </c>
      <c r="D32" s="26">
        <f t="shared" si="18"/>
        <v>0</v>
      </c>
      <c r="E32" s="26">
        <f t="shared" si="18"/>
        <v>0</v>
      </c>
      <c r="F32" s="40" t="e">
        <f t="shared" si="1"/>
        <v>#DIV/0!</v>
      </c>
      <c r="G32" s="26">
        <f t="shared" si="18"/>
        <v>16000</v>
      </c>
      <c r="H32" s="26">
        <f t="shared" si="18"/>
        <v>0</v>
      </c>
      <c r="I32" s="26">
        <f t="shared" si="18"/>
        <v>0</v>
      </c>
      <c r="J32" s="26">
        <f t="shared" si="18"/>
        <v>8000</v>
      </c>
      <c r="K32" s="26">
        <f t="shared" si="18"/>
        <v>8000</v>
      </c>
      <c r="L32" s="41" t="e">
        <f t="shared" si="2"/>
        <v>#DIV/0!</v>
      </c>
      <c r="M32" s="5"/>
    </row>
    <row r="33" spans="1:13" ht="18" customHeight="1">
      <c r="A33" s="25" t="s">
        <v>660</v>
      </c>
      <c r="B33" s="11"/>
      <c r="C33" s="12"/>
      <c r="D33" s="12"/>
      <c r="E33" s="11">
        <f aca="true" t="shared" si="19" ref="E33:E42">C33+D33</f>
        <v>0</v>
      </c>
      <c r="F33" s="40" t="e">
        <f t="shared" si="1"/>
        <v>#DIV/0!</v>
      </c>
      <c r="G33" s="11">
        <f aca="true" t="shared" si="20" ref="G33:G42">SUM(H33:K33)</f>
        <v>0</v>
      </c>
      <c r="H33" s="21"/>
      <c r="I33" s="21"/>
      <c r="J33" s="21"/>
      <c r="K33" s="21"/>
      <c r="L33" s="41" t="e">
        <f t="shared" si="2"/>
        <v>#DIV/0!</v>
      </c>
      <c r="M33" s="5"/>
    </row>
    <row r="34" spans="1:13" ht="18" customHeight="1">
      <c r="A34" s="25" t="s">
        <v>661</v>
      </c>
      <c r="B34" s="11"/>
      <c r="C34" s="12"/>
      <c r="D34" s="12"/>
      <c r="E34" s="11">
        <f t="shared" si="19"/>
        <v>0</v>
      </c>
      <c r="F34" s="40" t="e">
        <f t="shared" si="1"/>
        <v>#DIV/0!</v>
      </c>
      <c r="G34" s="11">
        <f t="shared" si="20"/>
        <v>0</v>
      </c>
      <c r="H34" s="21"/>
      <c r="I34" s="21"/>
      <c r="J34" s="21"/>
      <c r="K34" s="21"/>
      <c r="L34" s="41" t="e">
        <f t="shared" si="2"/>
        <v>#DIV/0!</v>
      </c>
      <c r="M34" s="5"/>
    </row>
    <row r="35" spans="1:13" ht="18" customHeight="1">
      <c r="A35" s="25" t="s">
        <v>662</v>
      </c>
      <c r="B35" s="11"/>
      <c r="C35" s="12"/>
      <c r="D35" s="12"/>
      <c r="E35" s="11">
        <f t="shared" si="19"/>
        <v>0</v>
      </c>
      <c r="F35" s="40" t="e">
        <f t="shared" si="1"/>
        <v>#DIV/0!</v>
      </c>
      <c r="G35" s="11">
        <f t="shared" si="20"/>
        <v>16000</v>
      </c>
      <c r="H35" s="21"/>
      <c r="I35" s="21"/>
      <c r="J35" s="21">
        <v>8000</v>
      </c>
      <c r="K35" s="21">
        <v>8000</v>
      </c>
      <c r="L35" s="41" t="e">
        <f t="shared" si="2"/>
        <v>#DIV/0!</v>
      </c>
      <c r="M35" s="5"/>
    </row>
    <row r="36" spans="1:13" ht="18" customHeight="1">
      <c r="A36" s="25" t="s">
        <v>663</v>
      </c>
      <c r="B36" s="11"/>
      <c r="C36" s="12"/>
      <c r="D36" s="12"/>
      <c r="E36" s="11">
        <f t="shared" si="19"/>
        <v>0</v>
      </c>
      <c r="F36" s="40" t="e">
        <f t="shared" si="1"/>
        <v>#DIV/0!</v>
      </c>
      <c r="G36" s="11">
        <f t="shared" si="20"/>
        <v>0</v>
      </c>
      <c r="H36" s="21"/>
      <c r="I36" s="21"/>
      <c r="J36" s="21"/>
      <c r="K36" s="21"/>
      <c r="L36" s="41" t="e">
        <f t="shared" si="2"/>
        <v>#DIV/0!</v>
      </c>
      <c r="M36" s="5"/>
    </row>
    <row r="37" spans="1:13" ht="18" customHeight="1">
      <c r="A37" s="25" t="s">
        <v>664</v>
      </c>
      <c r="B37" s="11"/>
      <c r="C37" s="12"/>
      <c r="D37" s="12"/>
      <c r="E37" s="11">
        <f t="shared" si="19"/>
        <v>0</v>
      </c>
      <c r="F37" s="40" t="e">
        <f t="shared" si="1"/>
        <v>#DIV/0!</v>
      </c>
      <c r="G37" s="11">
        <f t="shared" si="20"/>
        <v>0</v>
      </c>
      <c r="H37" s="21"/>
      <c r="I37" s="21"/>
      <c r="J37" s="21"/>
      <c r="K37" s="21"/>
      <c r="L37" s="41" t="e">
        <f t="shared" si="2"/>
        <v>#DIV/0!</v>
      </c>
      <c r="M37" s="5"/>
    </row>
    <row r="38" spans="1:13" ht="18" customHeight="1">
      <c r="A38" s="25" t="s">
        <v>665</v>
      </c>
      <c r="B38" s="11"/>
      <c r="C38" s="12"/>
      <c r="D38" s="12"/>
      <c r="E38" s="11">
        <f t="shared" si="19"/>
        <v>0</v>
      </c>
      <c r="F38" s="40" t="e">
        <f t="shared" si="1"/>
        <v>#DIV/0!</v>
      </c>
      <c r="G38" s="11">
        <f t="shared" si="20"/>
        <v>0</v>
      </c>
      <c r="H38" s="21"/>
      <c r="I38" s="21"/>
      <c r="J38" s="21"/>
      <c r="K38" s="21"/>
      <c r="L38" s="41" t="e">
        <f t="shared" si="2"/>
        <v>#DIV/0!</v>
      </c>
      <c r="M38" s="5"/>
    </row>
    <row r="39" spans="1:13" ht="18" customHeight="1">
      <c r="A39" s="25" t="s">
        <v>666</v>
      </c>
      <c r="B39" s="11"/>
      <c r="C39" s="12"/>
      <c r="D39" s="12"/>
      <c r="E39" s="11">
        <f t="shared" si="19"/>
        <v>0</v>
      </c>
      <c r="F39" s="40" t="e">
        <f t="shared" si="1"/>
        <v>#DIV/0!</v>
      </c>
      <c r="G39" s="11">
        <f t="shared" si="20"/>
        <v>0</v>
      </c>
      <c r="H39" s="21"/>
      <c r="I39" s="21"/>
      <c r="J39" s="21"/>
      <c r="K39" s="21"/>
      <c r="L39" s="41" t="e">
        <f t="shared" si="2"/>
        <v>#DIV/0!</v>
      </c>
      <c r="M39" s="5"/>
    </row>
    <row r="40" spans="1:13" ht="18" customHeight="1">
      <c r="A40" s="25" t="s">
        <v>667</v>
      </c>
      <c r="B40" s="26"/>
      <c r="C40" s="12"/>
      <c r="D40" s="12"/>
      <c r="E40" s="11">
        <f t="shared" si="19"/>
        <v>0</v>
      </c>
      <c r="F40" s="40" t="e">
        <f t="shared" si="1"/>
        <v>#DIV/0!</v>
      </c>
      <c r="G40" s="11">
        <f t="shared" si="20"/>
        <v>0</v>
      </c>
      <c r="H40" s="21"/>
      <c r="I40" s="21"/>
      <c r="J40" s="21"/>
      <c r="K40" s="21"/>
      <c r="L40" s="41" t="e">
        <f t="shared" si="2"/>
        <v>#DIV/0!</v>
      </c>
      <c r="M40" s="5"/>
    </row>
    <row r="41" spans="1:13" ht="18" customHeight="1">
      <c r="A41" s="25" t="s">
        <v>668</v>
      </c>
      <c r="B41" s="11"/>
      <c r="C41" s="12"/>
      <c r="D41" s="12"/>
      <c r="E41" s="11">
        <f t="shared" si="19"/>
        <v>0</v>
      </c>
      <c r="F41" s="40" t="e">
        <f t="shared" si="1"/>
        <v>#DIV/0!</v>
      </c>
      <c r="G41" s="11">
        <f t="shared" si="20"/>
        <v>0</v>
      </c>
      <c r="H41" s="21"/>
      <c r="I41" s="21"/>
      <c r="J41" s="21"/>
      <c r="K41" s="21"/>
      <c r="L41" s="41" t="e">
        <f t="shared" si="2"/>
        <v>#DIV/0!</v>
      </c>
      <c r="M41" s="5"/>
    </row>
    <row r="42" spans="1:13" ht="18" customHeight="1">
      <c r="A42" s="25" t="s">
        <v>669</v>
      </c>
      <c r="B42" s="11"/>
      <c r="C42" s="12"/>
      <c r="D42" s="12"/>
      <c r="E42" s="11">
        <f t="shared" si="19"/>
        <v>0</v>
      </c>
      <c r="F42" s="40" t="e">
        <f t="shared" si="1"/>
        <v>#DIV/0!</v>
      </c>
      <c r="G42" s="11">
        <f t="shared" si="20"/>
        <v>0</v>
      </c>
      <c r="H42" s="21"/>
      <c r="I42" s="21"/>
      <c r="J42" s="21"/>
      <c r="K42" s="21"/>
      <c r="L42" s="41" t="e">
        <f t="shared" si="2"/>
        <v>#DIV/0!</v>
      </c>
      <c r="M42" s="5"/>
    </row>
    <row r="43" spans="1:13" ht="18" customHeight="1">
      <c r="A43" s="25" t="s">
        <v>670</v>
      </c>
      <c r="B43" s="11">
        <f aca="true" t="shared" si="21" ref="B43:K43">SUM(B44:B46)</f>
        <v>0</v>
      </c>
      <c r="C43" s="11">
        <f t="shared" si="21"/>
        <v>0</v>
      </c>
      <c r="D43" s="11">
        <f t="shared" si="21"/>
        <v>0</v>
      </c>
      <c r="E43" s="11">
        <f t="shared" si="21"/>
        <v>0</v>
      </c>
      <c r="F43" s="40" t="e">
        <f t="shared" si="1"/>
        <v>#DIV/0!</v>
      </c>
      <c r="G43" s="11">
        <f t="shared" si="21"/>
        <v>0</v>
      </c>
      <c r="H43" s="11">
        <f t="shared" si="21"/>
        <v>0</v>
      </c>
      <c r="I43" s="11">
        <f t="shared" si="21"/>
        <v>0</v>
      </c>
      <c r="J43" s="11">
        <f t="shared" si="21"/>
        <v>0</v>
      </c>
      <c r="K43" s="11">
        <f t="shared" si="21"/>
        <v>0</v>
      </c>
      <c r="L43" s="41" t="e">
        <f t="shared" si="2"/>
        <v>#DIV/0!</v>
      </c>
      <c r="M43" s="5"/>
    </row>
    <row r="44" spans="1:13" ht="18" customHeight="1">
      <c r="A44" s="25" t="s">
        <v>671</v>
      </c>
      <c r="B44" s="11"/>
      <c r="C44" s="12"/>
      <c r="D44" s="12"/>
      <c r="E44" s="11">
        <f aca="true" t="shared" si="22" ref="E44:E47">C44+D44</f>
        <v>0</v>
      </c>
      <c r="F44" s="40" t="e">
        <f t="shared" si="1"/>
        <v>#DIV/0!</v>
      </c>
      <c r="G44" s="11">
        <f aca="true" t="shared" si="23" ref="G44:G47">SUM(H44:K44)</f>
        <v>0</v>
      </c>
      <c r="H44" s="21"/>
      <c r="I44" s="21"/>
      <c r="J44" s="21"/>
      <c r="K44" s="21"/>
      <c r="L44" s="41" t="e">
        <f t="shared" si="2"/>
        <v>#DIV/0!</v>
      </c>
      <c r="M44" s="5"/>
    </row>
    <row r="45" spans="1:13" ht="18" customHeight="1">
      <c r="A45" s="25" t="s">
        <v>672</v>
      </c>
      <c r="B45" s="11"/>
      <c r="C45" s="12"/>
      <c r="D45" s="12"/>
      <c r="E45" s="11">
        <f t="shared" si="22"/>
        <v>0</v>
      </c>
      <c r="F45" s="40" t="e">
        <f t="shared" si="1"/>
        <v>#DIV/0!</v>
      </c>
      <c r="G45" s="11">
        <f t="shared" si="23"/>
        <v>0</v>
      </c>
      <c r="H45" s="21"/>
      <c r="I45" s="21"/>
      <c r="J45" s="21"/>
      <c r="K45" s="21"/>
      <c r="L45" s="41" t="e">
        <f t="shared" si="2"/>
        <v>#DIV/0!</v>
      </c>
      <c r="M45" s="5"/>
    </row>
    <row r="46" spans="1:13" ht="18" customHeight="1">
      <c r="A46" s="25" t="s">
        <v>673</v>
      </c>
      <c r="B46" s="11"/>
      <c r="C46" s="12"/>
      <c r="D46" s="12"/>
      <c r="E46" s="11">
        <f t="shared" si="22"/>
        <v>0</v>
      </c>
      <c r="F46" s="40" t="e">
        <f t="shared" si="1"/>
        <v>#DIV/0!</v>
      </c>
      <c r="G46" s="11">
        <f t="shared" si="23"/>
        <v>0</v>
      </c>
      <c r="H46" s="21"/>
      <c r="I46" s="21"/>
      <c r="J46" s="21"/>
      <c r="K46" s="21"/>
      <c r="L46" s="41" t="e">
        <f t="shared" si="2"/>
        <v>#DIV/0!</v>
      </c>
      <c r="M46" s="5"/>
    </row>
    <row r="47" spans="1:13" ht="18" customHeight="1">
      <c r="A47" s="109" t="s">
        <v>674</v>
      </c>
      <c r="B47" s="110"/>
      <c r="C47" s="112"/>
      <c r="D47" s="112"/>
      <c r="E47" s="11">
        <f t="shared" si="22"/>
        <v>0</v>
      </c>
      <c r="F47" s="40" t="e">
        <f t="shared" si="1"/>
        <v>#DIV/0!</v>
      </c>
      <c r="G47" s="11">
        <f t="shared" si="23"/>
        <v>375041.61035</v>
      </c>
      <c r="H47" s="112"/>
      <c r="I47" s="112"/>
      <c r="J47" s="112"/>
      <c r="K47" s="111">
        <f>J5+K5</f>
        <v>375041.61035</v>
      </c>
      <c r="L47" s="41" t="e">
        <f t="shared" si="2"/>
        <v>#DIV/0!</v>
      </c>
      <c r="M47" s="5">
        <v>2023.11</v>
      </c>
    </row>
    <row r="48" spans="1:13" ht="12.75">
      <c r="A48" s="25" t="s">
        <v>628</v>
      </c>
      <c r="B48" s="11"/>
      <c r="C48" s="12"/>
      <c r="D48" s="12"/>
      <c r="E48" s="11"/>
      <c r="F48" s="40"/>
      <c r="G48" s="11">
        <f>E5-E47+G5-G47</f>
        <v>0</v>
      </c>
      <c r="H48" s="12"/>
      <c r="I48" s="12"/>
      <c r="J48" s="12"/>
      <c r="K48" s="12"/>
      <c r="L48" s="41"/>
      <c r="M48" s="5"/>
    </row>
    <row r="49" spans="1:13" ht="12.75">
      <c r="A49" s="25"/>
      <c r="B49" s="11"/>
      <c r="C49" s="12"/>
      <c r="D49" s="12"/>
      <c r="E49" s="11"/>
      <c r="F49" s="40"/>
      <c r="G49" s="11"/>
      <c r="H49" s="12"/>
      <c r="I49" s="12"/>
      <c r="J49" s="12"/>
      <c r="K49" s="12"/>
      <c r="L49" s="41"/>
      <c r="M49" s="5"/>
    </row>
    <row r="50" spans="1:13" ht="12.75">
      <c r="A50" s="5"/>
      <c r="B50" s="5"/>
      <c r="C50" s="16"/>
      <c r="D50" s="4" t="s">
        <v>677</v>
      </c>
      <c r="E50" s="5"/>
      <c r="F50" s="5"/>
      <c r="G50" s="5"/>
      <c r="H50" s="16"/>
      <c r="I50" s="4" t="s">
        <v>678</v>
      </c>
      <c r="J50" s="5"/>
      <c r="K50" s="5"/>
      <c r="L50" s="5"/>
      <c r="M50" s="5"/>
    </row>
  </sheetData>
  <sheetProtection/>
  <mergeCells count="6">
    <mergeCell ref="A1:M1"/>
    <mergeCell ref="B3:F3"/>
    <mergeCell ref="G3:K3"/>
    <mergeCell ref="A3:A4"/>
    <mergeCell ref="L3:L4"/>
    <mergeCell ref="M3:M4"/>
  </mergeCells>
  <printOptions/>
  <pageMargins left="1.18" right="0.19" top="0.55" bottom="0.39" header="0.28" footer="0.16"/>
  <pageSetup fitToHeight="1" fitToWidth="1" horizontalDpi="300" verticalDpi="300" orientation="landscape" paperSize="9" scale="76"/>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C100"/>
  <sheetViews>
    <sheetView workbookViewId="0" topLeftCell="A1">
      <pane xSplit="2" ySplit="5" topLeftCell="C6" activePane="bottomRight" state="frozen"/>
      <selection pane="bottomRight" activeCell="K7" sqref="K7"/>
    </sheetView>
  </sheetViews>
  <sheetFormatPr defaultColWidth="9.140625" defaultRowHeight="12.75"/>
  <cols>
    <col min="1" max="1" width="9.140625" style="180" customWidth="1"/>
    <col min="2" max="2" width="23.8515625" style="180" customWidth="1"/>
    <col min="3" max="3" width="16.7109375" style="180" customWidth="1"/>
    <col min="4" max="4" width="13.8515625" style="210" customWidth="1"/>
    <col min="5" max="5" width="13.421875" style="211" customWidth="1"/>
    <col min="6" max="6" width="10.8515625" style="180" customWidth="1"/>
    <col min="7" max="7" width="13.140625" style="180" customWidth="1"/>
    <col min="8" max="8" width="8.57421875" style="180" customWidth="1"/>
    <col min="9" max="9" width="11.140625" style="180" customWidth="1"/>
    <col min="10" max="10" width="12.7109375" style="180" customWidth="1"/>
    <col min="11" max="12" width="12.00390625" style="180" customWidth="1"/>
    <col min="13" max="13" width="10.28125" style="180" customWidth="1"/>
    <col min="14" max="17" width="12.00390625" style="180" customWidth="1"/>
    <col min="18" max="22" width="11.57421875" style="180" customWidth="1"/>
    <col min="23" max="23" width="10.57421875" style="180" customWidth="1"/>
    <col min="24" max="24" width="9.00390625" style="180" customWidth="1"/>
    <col min="25" max="25" width="7.421875" style="180" customWidth="1"/>
    <col min="26" max="26" width="15.00390625" style="180" hidden="1" customWidth="1"/>
    <col min="27" max="27" width="17.7109375" style="180" hidden="1" customWidth="1"/>
    <col min="28" max="28" width="9.140625" style="180" customWidth="1"/>
    <col min="29" max="29" width="23.00390625" style="180" customWidth="1"/>
    <col min="30" max="35" width="9.140625" style="180" customWidth="1"/>
    <col min="36" max="16384" width="9.140625" style="180" customWidth="1"/>
  </cols>
  <sheetData>
    <row r="1" spans="1:25" ht="18" customHeight="1">
      <c r="A1" s="140" t="s">
        <v>286</v>
      </c>
      <c r="B1" s="140" t="s">
        <v>286</v>
      </c>
      <c r="C1" s="140"/>
      <c r="D1" s="212"/>
      <c r="E1" s="213"/>
      <c r="F1" s="140"/>
      <c r="G1" s="140" t="s">
        <v>286</v>
      </c>
      <c r="H1" s="140"/>
      <c r="I1" s="140" t="s">
        <v>286</v>
      </c>
      <c r="J1" s="140" t="s">
        <v>286</v>
      </c>
      <c r="K1" s="140" t="s">
        <v>286</v>
      </c>
      <c r="L1" s="140" t="s">
        <v>286</v>
      </c>
      <c r="M1" s="140" t="s">
        <v>286</v>
      </c>
      <c r="N1" s="140" t="s">
        <v>286</v>
      </c>
      <c r="O1" s="140"/>
      <c r="P1" s="140"/>
      <c r="Q1" s="140"/>
      <c r="R1" s="140" t="s">
        <v>286</v>
      </c>
      <c r="S1" s="140" t="s">
        <v>286</v>
      </c>
      <c r="T1" s="140" t="s">
        <v>286</v>
      </c>
      <c r="U1" s="140" t="s">
        <v>286</v>
      </c>
      <c r="V1" s="140" t="s">
        <v>286</v>
      </c>
      <c r="W1" s="140" t="s">
        <v>286</v>
      </c>
      <c r="X1" s="140" t="s">
        <v>286</v>
      </c>
      <c r="Y1" s="140" t="s">
        <v>286</v>
      </c>
    </row>
    <row r="2" spans="1:25" ht="18" customHeight="1">
      <c r="A2" s="157" t="s">
        <v>287</v>
      </c>
      <c r="B2" s="214"/>
      <c r="C2" s="215"/>
      <c r="D2" s="216"/>
      <c r="E2" s="217"/>
      <c r="F2" s="218"/>
      <c r="G2" s="218"/>
      <c r="H2" s="219"/>
      <c r="I2" s="157"/>
      <c r="J2" s="157"/>
      <c r="K2" s="157"/>
      <c r="L2" s="157"/>
      <c r="M2" s="196" t="s">
        <v>288</v>
      </c>
      <c r="N2" s="157"/>
      <c r="O2" s="157"/>
      <c r="P2" s="157"/>
      <c r="Q2" s="157"/>
      <c r="S2" s="157"/>
      <c r="T2" s="157"/>
      <c r="U2" s="157"/>
      <c r="V2" s="157"/>
      <c r="W2" s="157"/>
      <c r="X2" s="163" t="s">
        <v>1</v>
      </c>
      <c r="Y2" s="157"/>
    </row>
    <row r="3" spans="1:25" ht="14.25" customHeight="1">
      <c r="A3" s="123" t="s">
        <v>289</v>
      </c>
      <c r="B3" s="123" t="s">
        <v>290</v>
      </c>
      <c r="C3" s="220" t="s">
        <v>291</v>
      </c>
      <c r="D3" s="221"/>
      <c r="E3" s="221"/>
      <c r="F3" s="221"/>
      <c r="G3" s="221"/>
      <c r="H3" s="221"/>
      <c r="I3" s="150" t="s">
        <v>292</v>
      </c>
      <c r="J3" s="150" t="s">
        <v>292</v>
      </c>
      <c r="K3" s="150" t="s">
        <v>292</v>
      </c>
      <c r="L3" s="150" t="s">
        <v>292</v>
      </c>
      <c r="M3" s="150" t="s">
        <v>292</v>
      </c>
      <c r="N3" s="150" t="s">
        <v>292</v>
      </c>
      <c r="O3" s="150"/>
      <c r="P3" s="150"/>
      <c r="Q3" s="150"/>
      <c r="R3" s="150" t="s">
        <v>292</v>
      </c>
      <c r="S3" s="150" t="s">
        <v>292</v>
      </c>
      <c r="T3" s="150" t="s">
        <v>292</v>
      </c>
      <c r="U3" s="150" t="s">
        <v>292</v>
      </c>
      <c r="V3" s="150" t="s">
        <v>292</v>
      </c>
      <c r="W3" s="150" t="s">
        <v>292</v>
      </c>
      <c r="X3" s="188" t="s">
        <v>293</v>
      </c>
      <c r="Y3" s="247" t="s">
        <v>33</v>
      </c>
    </row>
    <row r="4" spans="1:25" ht="18" customHeight="1">
      <c r="A4" s="123" t="s">
        <v>289</v>
      </c>
      <c r="B4" s="123" t="s">
        <v>290</v>
      </c>
      <c r="C4" s="222" t="s">
        <v>294</v>
      </c>
      <c r="D4" s="222" t="s">
        <v>295</v>
      </c>
      <c r="E4" s="188" t="s">
        <v>296</v>
      </c>
      <c r="F4" s="150" t="s">
        <v>297</v>
      </c>
      <c r="G4" s="223" t="s">
        <v>298</v>
      </c>
      <c r="H4" s="224" t="s">
        <v>299</v>
      </c>
      <c r="I4" s="150" t="s">
        <v>297</v>
      </c>
      <c r="J4" s="150" t="s">
        <v>300</v>
      </c>
      <c r="K4" s="238" t="s">
        <v>301</v>
      </c>
      <c r="L4" s="204"/>
      <c r="M4" s="204"/>
      <c r="N4" s="204"/>
      <c r="O4" s="204"/>
      <c r="P4" s="204"/>
      <c r="Q4" s="205"/>
      <c r="R4" s="150" t="s">
        <v>302</v>
      </c>
      <c r="S4" s="150" t="s">
        <v>303</v>
      </c>
      <c r="T4" s="150" t="s">
        <v>304</v>
      </c>
      <c r="U4" s="150" t="s">
        <v>305</v>
      </c>
      <c r="V4" s="150" t="s">
        <v>306</v>
      </c>
      <c r="W4" s="150" t="s">
        <v>307</v>
      </c>
      <c r="X4" s="242"/>
      <c r="Y4" s="248"/>
    </row>
    <row r="5" spans="1:25" ht="12.75" customHeight="1">
      <c r="A5" s="123" t="s">
        <v>289</v>
      </c>
      <c r="B5" s="123" t="s">
        <v>290</v>
      </c>
      <c r="C5" s="225"/>
      <c r="D5" s="225"/>
      <c r="E5" s="226"/>
      <c r="F5" s="150" t="s">
        <v>297</v>
      </c>
      <c r="G5" s="223"/>
      <c r="H5" s="227"/>
      <c r="I5" s="150" t="s">
        <v>297</v>
      </c>
      <c r="J5" s="150" t="s">
        <v>300</v>
      </c>
      <c r="K5" s="239" t="s">
        <v>308</v>
      </c>
      <c r="L5" s="239" t="s">
        <v>309</v>
      </c>
      <c r="M5" s="239" t="s">
        <v>310</v>
      </c>
      <c r="N5" s="239" t="s">
        <v>259</v>
      </c>
      <c r="O5" s="239" t="s">
        <v>311</v>
      </c>
      <c r="P5" s="239" t="s">
        <v>312</v>
      </c>
      <c r="Q5" s="239" t="s">
        <v>313</v>
      </c>
      <c r="R5" s="150" t="s">
        <v>303</v>
      </c>
      <c r="S5" s="150" t="s">
        <v>302</v>
      </c>
      <c r="T5" s="150" t="s">
        <v>304</v>
      </c>
      <c r="U5" s="150" t="s">
        <v>305</v>
      </c>
      <c r="V5" s="150" t="s">
        <v>306</v>
      </c>
      <c r="W5" s="150" t="s">
        <v>307</v>
      </c>
      <c r="X5" s="226"/>
      <c r="Y5" s="249"/>
    </row>
    <row r="6" spans="1:27" ht="21.75" customHeight="1">
      <c r="A6" s="150" t="s">
        <v>314</v>
      </c>
      <c r="B6" s="151" t="s">
        <v>315</v>
      </c>
      <c r="C6" s="228">
        <f>C7+C14</f>
        <v>17383018.743</v>
      </c>
      <c r="D6" s="228">
        <f>D7+D14</f>
        <v>10173523.41</v>
      </c>
      <c r="E6" s="152">
        <f>E7+E14</f>
        <v>3932661.3099999996</v>
      </c>
      <c r="F6" s="152"/>
      <c r="G6" s="152">
        <f>G7+G14</f>
        <v>14106184.72</v>
      </c>
      <c r="H6" s="153">
        <f>G6/C6</f>
        <v>0.8114922343784762</v>
      </c>
      <c r="I6" s="152"/>
      <c r="J6" s="152">
        <f>J7+J14</f>
        <v>18204041.453199998</v>
      </c>
      <c r="K6" s="152">
        <f>K7+K14</f>
        <v>14016469.18</v>
      </c>
      <c r="L6" s="152">
        <f aca="true" t="shared" si="0" ref="L6:W6">L7+L14</f>
        <v>6045600</v>
      </c>
      <c r="M6" s="152">
        <f t="shared" si="0"/>
        <v>0</v>
      </c>
      <c r="N6" s="152">
        <f t="shared" si="0"/>
        <v>1182828</v>
      </c>
      <c r="O6" s="152">
        <f t="shared" si="0"/>
        <v>1580428.7</v>
      </c>
      <c r="P6" s="152">
        <f t="shared" si="0"/>
        <v>4973608.479999999</v>
      </c>
      <c r="Q6" s="243">
        <f t="shared" si="0"/>
        <v>234004</v>
      </c>
      <c r="R6" s="243">
        <f t="shared" si="0"/>
        <v>221476</v>
      </c>
      <c r="S6" s="244">
        <f t="shared" si="0"/>
        <v>2528025.2399999993</v>
      </c>
      <c r="T6" s="244">
        <f t="shared" si="0"/>
        <v>909876</v>
      </c>
      <c r="U6" s="244">
        <f t="shared" si="0"/>
        <v>246028.03039999996</v>
      </c>
      <c r="V6" s="244">
        <f t="shared" si="0"/>
        <v>184127.0028</v>
      </c>
      <c r="W6" s="152">
        <f t="shared" si="0"/>
        <v>98040</v>
      </c>
      <c r="X6" s="245">
        <f>K6/G6</f>
        <v>0.9936399854545502</v>
      </c>
      <c r="Y6" s="157"/>
      <c r="Z6" s="180">
        <v>136551.64160000003</v>
      </c>
      <c r="AA6" s="180">
        <f>U6-Z6</f>
        <v>109476.38879999993</v>
      </c>
    </row>
    <row r="7" spans="1:27" ht="21.75" customHeight="1">
      <c r="A7" s="150" t="s">
        <v>314</v>
      </c>
      <c r="B7" s="151" t="s">
        <v>316</v>
      </c>
      <c r="C7" s="228">
        <f>SUM(C8:C13)</f>
        <v>17383018.743</v>
      </c>
      <c r="D7" s="228">
        <f>SUM(D8:D13)</f>
        <v>10173523.41</v>
      </c>
      <c r="E7" s="152">
        <f>SUM(E8:E13)</f>
        <v>3932661.3099999996</v>
      </c>
      <c r="F7" s="152">
        <f>(D7+E7)/'3)人员情况表'!C7</f>
        <v>95312.0589189189</v>
      </c>
      <c r="G7" s="152">
        <f>SUM(G8:G13)</f>
        <v>14106184.72</v>
      </c>
      <c r="H7" s="153">
        <f aca="true" t="shared" si="1" ref="H7:H50">G7/C7</f>
        <v>0.8114922343784762</v>
      </c>
      <c r="I7" s="230">
        <f>K7/'3)人员情况表'!F7</f>
        <v>94705.87283783783</v>
      </c>
      <c r="J7" s="152">
        <f>SUM(J8:J13)</f>
        <v>18204041.453199998</v>
      </c>
      <c r="K7" s="152">
        <f>SUM(K8:K13)</f>
        <v>14016469.18</v>
      </c>
      <c r="L7" s="152">
        <f>SUM(L8:L13)</f>
        <v>6045600</v>
      </c>
      <c r="M7" s="152">
        <f aca="true" t="shared" si="2" ref="L7:W7">SUM(M8:M13)</f>
        <v>0</v>
      </c>
      <c r="N7" s="152">
        <f t="shared" si="2"/>
        <v>1182828</v>
      </c>
      <c r="O7" s="152">
        <f t="shared" si="2"/>
        <v>1580428.7</v>
      </c>
      <c r="P7" s="152">
        <f t="shared" si="2"/>
        <v>4973608.479999999</v>
      </c>
      <c r="Q7" s="152">
        <f t="shared" si="2"/>
        <v>234004</v>
      </c>
      <c r="R7" s="152">
        <f t="shared" si="2"/>
        <v>221476</v>
      </c>
      <c r="S7" s="244">
        <f t="shared" si="2"/>
        <v>2528025.2399999993</v>
      </c>
      <c r="T7" s="244">
        <f t="shared" si="2"/>
        <v>909876</v>
      </c>
      <c r="U7" s="244">
        <f t="shared" si="2"/>
        <v>246028.03039999996</v>
      </c>
      <c r="V7" s="244">
        <f t="shared" si="2"/>
        <v>184127.0028</v>
      </c>
      <c r="W7" s="152">
        <f t="shared" si="2"/>
        <v>98040</v>
      </c>
      <c r="X7" s="245">
        <f aca="true" t="shared" si="3" ref="X7:X50">K7/G7</f>
        <v>0.9936399854545502</v>
      </c>
      <c r="Y7" s="157"/>
      <c r="Z7" s="180">
        <v>102413.7312</v>
      </c>
      <c r="AA7" s="180">
        <f>V6-Z7</f>
        <v>81713.2716</v>
      </c>
    </row>
    <row r="8" spans="1:27" ht="21.75" customHeight="1">
      <c r="A8" s="150" t="s">
        <v>314</v>
      </c>
      <c r="B8" s="151" t="s">
        <v>317</v>
      </c>
      <c r="C8" s="228">
        <f aca="true" t="shared" si="4" ref="C8:C14">C17+C26+C35+C44</f>
        <v>1947095.838</v>
      </c>
      <c r="D8" s="228">
        <f>D17+D26+D35+D44</f>
        <v>1019505.29</v>
      </c>
      <c r="E8" s="152">
        <f>E17+E26+E35+E44</f>
        <v>314522.52</v>
      </c>
      <c r="F8" s="152">
        <f>(D8+E8)/'3)人员情况表'!C8</f>
        <v>444675.9366666667</v>
      </c>
      <c r="G8" s="152">
        <f>G17+G26+G35+G44</f>
        <v>1334027.81</v>
      </c>
      <c r="H8" s="153">
        <f t="shared" si="1"/>
        <v>0.6851372099743557</v>
      </c>
      <c r="I8" s="230">
        <f>K8/'3)人员情况表'!F8</f>
        <v>491762.5</v>
      </c>
      <c r="J8" s="152">
        <f>J17+J26+J35+J44</f>
        <v>1925600.2425000002</v>
      </c>
      <c r="K8" s="152">
        <f aca="true" t="shared" si="5" ref="K8:K14">SUM(L8:Q8)</f>
        <v>1475287.5</v>
      </c>
      <c r="L8" s="152">
        <f>L17+L26+L35+L44</f>
        <v>491400</v>
      </c>
      <c r="M8" s="152">
        <f aca="true" t="shared" si="6" ref="M8:W8">M17+M26+M35+M44</f>
        <v>0</v>
      </c>
      <c r="N8" s="152">
        <f t="shared" si="6"/>
        <v>12144</v>
      </c>
      <c r="O8" s="152">
        <f t="shared" si="6"/>
        <v>292628.69999999995</v>
      </c>
      <c r="P8" s="152">
        <f t="shared" si="6"/>
        <v>679114.7999999999</v>
      </c>
      <c r="Q8" s="152">
        <f t="shared" si="6"/>
        <v>0</v>
      </c>
      <c r="R8" s="152">
        <f t="shared" si="6"/>
        <v>2400</v>
      </c>
      <c r="S8" s="244">
        <f t="shared" si="6"/>
        <v>204385.68000000005</v>
      </c>
      <c r="T8" s="244">
        <f t="shared" si="6"/>
        <v>93852</v>
      </c>
      <c r="U8" s="244">
        <f t="shared" si="6"/>
        <v>29505.75</v>
      </c>
      <c r="V8" s="244">
        <f t="shared" si="6"/>
        <v>22129.3125</v>
      </c>
      <c r="W8" s="152">
        <f t="shared" si="6"/>
        <v>98040</v>
      </c>
      <c r="X8" s="245">
        <f t="shared" si="3"/>
        <v>1.1058896141003236</v>
      </c>
      <c r="Y8" s="157"/>
      <c r="Z8" s="180">
        <v>34476.7216</v>
      </c>
      <c r="AA8" s="180">
        <v>25857.5412</v>
      </c>
    </row>
    <row r="9" spans="1:29" ht="21.75" customHeight="1">
      <c r="A9" s="150" t="s">
        <v>314</v>
      </c>
      <c r="B9" s="151" t="s">
        <v>318</v>
      </c>
      <c r="C9" s="228">
        <f t="shared" si="4"/>
        <v>3959637.21</v>
      </c>
      <c r="D9" s="228">
        <f aca="true" t="shared" si="7" ref="D9:E14">D18+D27+D36+D45</f>
        <v>2367341.66</v>
      </c>
      <c r="E9" s="152">
        <f t="shared" si="7"/>
        <v>1215615.94</v>
      </c>
      <c r="F9" s="152">
        <f>(D9+E9)/'3)人员情况表'!C9</f>
        <v>162861.7090909091</v>
      </c>
      <c r="G9" s="152">
        <f aca="true" t="shared" si="8" ref="G8:G14">G18+G27+G36+G45</f>
        <v>3582957.6</v>
      </c>
      <c r="H9" s="153">
        <f t="shared" si="1"/>
        <v>0.904870171174091</v>
      </c>
      <c r="I9" s="230">
        <f>K9/'3)人员情况表'!F9</f>
        <v>119899</v>
      </c>
      <c r="J9" s="152">
        <f aca="true" t="shared" si="9" ref="J9:J14">J18+J27+J36+J45</f>
        <v>3716765.4399999995</v>
      </c>
      <c r="K9" s="152">
        <f t="shared" si="5"/>
        <v>2877576</v>
      </c>
      <c r="L9" s="152">
        <f>L18+L27+L36+L45</f>
        <v>1418640</v>
      </c>
      <c r="M9" s="152">
        <f aca="true" t="shared" si="10" ref="L9:W14">M18+M27+M36+M45</f>
        <v>0</v>
      </c>
      <c r="N9" s="152">
        <f>N18+N27+N36+N45</f>
        <v>241896</v>
      </c>
      <c r="O9" s="152">
        <f t="shared" si="10"/>
        <v>286800</v>
      </c>
      <c r="P9" s="152">
        <f aca="true" t="shared" si="11" ref="P9:P14">P18+P27+P36+P45</f>
        <v>905600</v>
      </c>
      <c r="Q9" s="152">
        <f aca="true" t="shared" si="12" ref="Q9:Q14">Q18+Q27+Q36+Q45</f>
        <v>24640</v>
      </c>
      <c r="R9" s="152">
        <f t="shared" si="10"/>
        <v>6012</v>
      </c>
      <c r="S9" s="244">
        <f>S18+S27+S36+S45</f>
        <v>497108.27999999997</v>
      </c>
      <c r="T9" s="244">
        <f t="shared" si="10"/>
        <v>235704</v>
      </c>
      <c r="U9" s="244">
        <f t="shared" si="10"/>
        <v>57351.520000000004</v>
      </c>
      <c r="V9" s="244">
        <f t="shared" si="10"/>
        <v>43013.64</v>
      </c>
      <c r="W9" s="152">
        <f t="shared" si="10"/>
        <v>0</v>
      </c>
      <c r="X9" s="245">
        <f t="shared" si="3"/>
        <v>0.8031286778275021</v>
      </c>
      <c r="Y9" s="157"/>
      <c r="Z9" s="197">
        <v>40412.14</v>
      </c>
      <c r="AA9" s="197">
        <v>30309.104999999996</v>
      </c>
      <c r="AC9" s="180">
        <f>'[3]2)人力资源成本预算表'!$L$9+'[4]2)人力资源成本预算表'!$L$8+'[5]2)人力资源成本预算表'!$L$8</f>
        <v>1418640</v>
      </c>
    </row>
    <row r="10" spans="1:29" ht="21.75" customHeight="1">
      <c r="A10" s="150" t="s">
        <v>314</v>
      </c>
      <c r="B10" s="151" t="s">
        <v>319</v>
      </c>
      <c r="C10" s="228">
        <f t="shared" si="4"/>
        <v>8908436.915</v>
      </c>
      <c r="D10" s="228">
        <f t="shared" si="7"/>
        <v>5713184.16</v>
      </c>
      <c r="E10" s="152">
        <f t="shared" si="7"/>
        <v>1795417.84</v>
      </c>
      <c r="F10" s="152">
        <f>(D10+E10)/('3)人员情况表'!C10+'3)人员情况表'!C11+'3)人员情况表'!C12+'3)人员情况表'!C13)</f>
        <v>61045.544715447155</v>
      </c>
      <c r="G10" s="152">
        <f t="shared" si="8"/>
        <v>7508602</v>
      </c>
      <c r="H10" s="153">
        <f t="shared" si="1"/>
        <v>0.8428641378553221</v>
      </c>
      <c r="I10" s="230">
        <f>K10/'3)人员情况表'!F10</f>
        <v>79205.22352941177</v>
      </c>
      <c r="J10" s="152">
        <f t="shared" si="9"/>
        <v>9050775.32</v>
      </c>
      <c r="K10" s="152">
        <f t="shared" si="5"/>
        <v>6732444</v>
      </c>
      <c r="L10" s="152">
        <f>L19+L28+L37+L46</f>
        <v>3318360</v>
      </c>
      <c r="M10" s="152">
        <f t="shared" si="10"/>
        <v>0</v>
      </c>
      <c r="N10" s="152">
        <f>N19+N28+N37+N46</f>
        <v>716040</v>
      </c>
      <c r="O10" s="152">
        <f t="shared" si="10"/>
        <v>972000</v>
      </c>
      <c r="P10" s="152">
        <f t="shared" si="11"/>
        <v>1586040</v>
      </c>
      <c r="Q10" s="152">
        <f t="shared" si="12"/>
        <v>140004</v>
      </c>
      <c r="R10" s="152">
        <f t="shared" si="10"/>
        <v>185114</v>
      </c>
      <c r="S10" s="244">
        <f>S19+S28+S37+S46</f>
        <v>1327764.4799999995</v>
      </c>
      <c r="T10" s="244">
        <f t="shared" si="10"/>
        <v>574368</v>
      </c>
      <c r="U10" s="244">
        <f t="shared" si="10"/>
        <v>132048.48</v>
      </c>
      <c r="V10" s="244">
        <f t="shared" si="10"/>
        <v>99036.35999999997</v>
      </c>
      <c r="W10" s="152">
        <f t="shared" si="10"/>
        <v>0</v>
      </c>
      <c r="X10" s="245">
        <f t="shared" si="3"/>
        <v>0.896630824220008</v>
      </c>
      <c r="Y10" s="157"/>
      <c r="Z10" s="250">
        <v>61662.78</v>
      </c>
      <c r="AA10" s="197">
        <v>46247.085</v>
      </c>
      <c r="AC10" s="180">
        <f>L9-AC9</f>
        <v>0</v>
      </c>
    </row>
    <row r="11" spans="1:27" ht="21.75" customHeight="1">
      <c r="A11" s="150" t="s">
        <v>314</v>
      </c>
      <c r="B11" s="151" t="s">
        <v>320</v>
      </c>
      <c r="C11" s="228">
        <f t="shared" si="4"/>
        <v>2073044.94</v>
      </c>
      <c r="D11" s="228">
        <f t="shared" si="7"/>
        <v>1056116.2999999998</v>
      </c>
      <c r="E11" s="228">
        <f>E20+E29+E38+E47</f>
        <v>601212.01</v>
      </c>
      <c r="F11" s="229"/>
      <c r="G11" s="152">
        <f t="shared" si="8"/>
        <v>1657328.3099999998</v>
      </c>
      <c r="H11" s="153">
        <f t="shared" si="1"/>
        <v>0.7994656932039302</v>
      </c>
      <c r="I11" s="230">
        <f>K11/'3)人员情况表'!F11</f>
        <v>33386.857142857145</v>
      </c>
      <c r="J11" s="152">
        <f t="shared" si="9"/>
        <v>1734018.0999999999</v>
      </c>
      <c r="K11" s="152">
        <f t="shared" si="5"/>
        <v>1168540</v>
      </c>
      <c r="L11" s="152">
        <f t="shared" si="10"/>
        <v>799200</v>
      </c>
      <c r="M11" s="152">
        <f t="shared" si="10"/>
        <v>0</v>
      </c>
      <c r="N11" s="152">
        <f t="shared" si="10"/>
        <v>207480</v>
      </c>
      <c r="O11" s="152">
        <f t="shared" si="10"/>
        <v>0</v>
      </c>
      <c r="P11" s="152">
        <f t="shared" si="11"/>
        <v>92500</v>
      </c>
      <c r="Q11" s="152">
        <f t="shared" si="12"/>
        <v>69360</v>
      </c>
      <c r="R11" s="152">
        <f t="shared" si="10"/>
        <v>27300</v>
      </c>
      <c r="S11" s="244">
        <f t="shared" si="10"/>
        <v>498766.7999999998</v>
      </c>
      <c r="T11" s="244">
        <f t="shared" si="10"/>
        <v>5952</v>
      </c>
      <c r="U11" s="244">
        <f t="shared" si="10"/>
        <v>19119.59999999999</v>
      </c>
      <c r="V11" s="244">
        <f t="shared" si="10"/>
        <v>14339.699999999999</v>
      </c>
      <c r="W11" s="152">
        <f t="shared" si="10"/>
        <v>0</v>
      </c>
      <c r="X11" s="245">
        <f t="shared" si="3"/>
        <v>0.7050745425328553</v>
      </c>
      <c r="Y11" s="157"/>
      <c r="AA11" s="197"/>
    </row>
    <row r="12" spans="1:27" ht="21.75" customHeight="1">
      <c r="A12" s="150"/>
      <c r="B12" s="151" t="s">
        <v>321</v>
      </c>
      <c r="C12" s="228">
        <f t="shared" si="4"/>
        <v>141960.56</v>
      </c>
      <c r="D12" s="228">
        <f t="shared" si="7"/>
        <v>17376</v>
      </c>
      <c r="E12" s="228">
        <f>E21+E30+E39+E48</f>
        <v>5893</v>
      </c>
      <c r="F12" s="229"/>
      <c r="G12" s="152">
        <f t="shared" si="8"/>
        <v>23269</v>
      </c>
      <c r="H12" s="153">
        <f t="shared" si="1"/>
        <v>0.16391172308703206</v>
      </c>
      <c r="I12" s="230">
        <f>K12/'3)人员情况表'!F12</f>
        <v>26268</v>
      </c>
      <c r="J12" s="152">
        <f t="shared" si="9"/>
        <v>27443.36</v>
      </c>
      <c r="K12" s="152">
        <f t="shared" si="5"/>
        <v>26268</v>
      </c>
      <c r="L12" s="152">
        <f t="shared" si="10"/>
        <v>18000</v>
      </c>
      <c r="M12" s="152">
        <f t="shared" si="10"/>
        <v>0</v>
      </c>
      <c r="N12" s="152">
        <f t="shared" si="10"/>
        <v>5268</v>
      </c>
      <c r="O12" s="152">
        <f t="shared" si="10"/>
        <v>0</v>
      </c>
      <c r="P12" s="152">
        <f t="shared" si="11"/>
        <v>3000</v>
      </c>
      <c r="Q12" s="152">
        <f t="shared" si="12"/>
        <v>0</v>
      </c>
      <c r="R12" s="152">
        <f t="shared" si="10"/>
        <v>650</v>
      </c>
      <c r="S12" s="244">
        <f t="shared" si="10"/>
        <v>0</v>
      </c>
      <c r="T12" s="244">
        <f t="shared" si="10"/>
        <v>0</v>
      </c>
      <c r="U12" s="244">
        <f t="shared" si="10"/>
        <v>525.36</v>
      </c>
      <c r="V12" s="244">
        <f t="shared" si="10"/>
        <v>0</v>
      </c>
      <c r="W12" s="152">
        <f t="shared" si="10"/>
        <v>0</v>
      </c>
      <c r="X12" s="245">
        <f t="shared" si="3"/>
        <v>1.1288839228157634</v>
      </c>
      <c r="Y12" s="157"/>
      <c r="AA12" s="197"/>
    </row>
    <row r="13" spans="1:27" ht="21.75" customHeight="1">
      <c r="A13" s="150" t="s">
        <v>314</v>
      </c>
      <c r="B13" s="151" t="s">
        <v>322</v>
      </c>
      <c r="C13" s="228">
        <f t="shared" si="4"/>
        <v>352843.28</v>
      </c>
      <c r="D13" s="228">
        <f t="shared" si="7"/>
        <v>0</v>
      </c>
      <c r="E13" s="152">
        <f t="shared" si="7"/>
        <v>0</v>
      </c>
      <c r="F13" s="230">
        <f>(G9+G10+G11)/('3)人员情况表'!C7-'3)人员情况表'!C8)</f>
        <v>87923.36489655172</v>
      </c>
      <c r="G13" s="152">
        <f t="shared" si="8"/>
        <v>0</v>
      </c>
      <c r="H13" s="153">
        <f t="shared" si="1"/>
        <v>0</v>
      </c>
      <c r="I13" s="230">
        <f>(K9+K10+K11+K12)/('3)人员情况表'!F7-'3)人员情况表'!F8)</f>
        <v>74516.05517241379</v>
      </c>
      <c r="J13" s="152">
        <f t="shared" si="9"/>
        <v>1749438.990699999</v>
      </c>
      <c r="K13" s="152">
        <f t="shared" si="5"/>
        <v>1736353.6799999992</v>
      </c>
      <c r="L13" s="152">
        <f t="shared" si="10"/>
        <v>0</v>
      </c>
      <c r="M13" s="152">
        <f t="shared" si="10"/>
        <v>0</v>
      </c>
      <c r="N13" s="152">
        <f t="shared" si="10"/>
        <v>0</v>
      </c>
      <c r="O13" s="152">
        <f t="shared" si="10"/>
        <v>29000</v>
      </c>
      <c r="P13" s="152">
        <f t="shared" si="11"/>
        <v>1707353.6799999992</v>
      </c>
      <c r="Q13" s="152">
        <f t="shared" si="12"/>
        <v>0</v>
      </c>
      <c r="R13" s="152">
        <f t="shared" si="10"/>
        <v>0</v>
      </c>
      <c r="S13" s="244">
        <f t="shared" si="10"/>
        <v>0</v>
      </c>
      <c r="T13" s="244">
        <f t="shared" si="10"/>
        <v>0</v>
      </c>
      <c r="U13" s="244">
        <f t="shared" si="10"/>
        <v>7477.3204000000005</v>
      </c>
      <c r="V13" s="244">
        <f>V22+V31+V40+V49</f>
        <v>5607.9903</v>
      </c>
      <c r="W13" s="152">
        <f t="shared" si="10"/>
        <v>0</v>
      </c>
      <c r="X13" s="245" t="e">
        <f t="shared" si="3"/>
        <v>#DIV/0!</v>
      </c>
      <c r="Y13" s="157"/>
      <c r="AA13" s="197"/>
    </row>
    <row r="14" spans="1:25" ht="21.75" customHeight="1">
      <c r="A14" s="150" t="s">
        <v>314</v>
      </c>
      <c r="B14" s="151" t="s">
        <v>323</v>
      </c>
      <c r="C14" s="228">
        <f t="shared" si="4"/>
        <v>0</v>
      </c>
      <c r="D14" s="228">
        <f t="shared" si="7"/>
        <v>0</v>
      </c>
      <c r="E14" s="152">
        <f t="shared" si="7"/>
        <v>0</v>
      </c>
      <c r="F14" s="229"/>
      <c r="G14" s="152">
        <f t="shared" si="8"/>
        <v>0</v>
      </c>
      <c r="H14" s="153" t="e">
        <f t="shared" si="1"/>
        <v>#DIV/0!</v>
      </c>
      <c r="I14" s="229"/>
      <c r="J14" s="152">
        <f t="shared" si="9"/>
        <v>0</v>
      </c>
      <c r="K14" s="152">
        <f t="shared" si="5"/>
        <v>0</v>
      </c>
      <c r="L14" s="152">
        <f t="shared" si="10"/>
        <v>0</v>
      </c>
      <c r="M14" s="152">
        <f t="shared" si="10"/>
        <v>0</v>
      </c>
      <c r="N14" s="152">
        <f t="shared" si="10"/>
        <v>0</v>
      </c>
      <c r="O14" s="152">
        <f t="shared" si="10"/>
        <v>0</v>
      </c>
      <c r="P14" s="152">
        <f t="shared" si="11"/>
        <v>0</v>
      </c>
      <c r="Q14" s="152">
        <f t="shared" si="12"/>
        <v>0</v>
      </c>
      <c r="R14" s="152">
        <f t="shared" si="10"/>
        <v>0</v>
      </c>
      <c r="S14" s="244">
        <f t="shared" si="10"/>
        <v>0</v>
      </c>
      <c r="T14" s="244">
        <f t="shared" si="10"/>
        <v>0</v>
      </c>
      <c r="U14" s="244">
        <f t="shared" si="10"/>
        <v>0</v>
      </c>
      <c r="V14" s="244">
        <f t="shared" si="10"/>
        <v>0</v>
      </c>
      <c r="W14" s="152">
        <f t="shared" si="10"/>
        <v>0</v>
      </c>
      <c r="X14" s="245" t="e">
        <f t="shared" si="3"/>
        <v>#DIV/0!</v>
      </c>
      <c r="Y14" s="157"/>
    </row>
    <row r="15" spans="1:25" ht="21.75" customHeight="1">
      <c r="A15" s="150" t="s">
        <v>324</v>
      </c>
      <c r="B15" s="151" t="s">
        <v>315</v>
      </c>
      <c r="C15" s="228">
        <f>C16+C23</f>
        <v>4031539.5969999996</v>
      </c>
      <c r="D15" s="228">
        <f>D16+D23</f>
        <v>3185096.0700000003</v>
      </c>
      <c r="E15" s="152">
        <f>E16+E23</f>
        <v>0</v>
      </c>
      <c r="F15" s="152"/>
      <c r="G15" s="152">
        <f>G16+G23</f>
        <v>3185096.0700000003</v>
      </c>
      <c r="H15" s="153">
        <f t="shared" si="1"/>
        <v>0.7900445954617771</v>
      </c>
      <c r="I15" s="152"/>
      <c r="J15" s="152">
        <f>J16+J23</f>
        <v>4475432.496325</v>
      </c>
      <c r="K15" s="152">
        <f aca="true" t="shared" si="13" ref="K15:W15">K16+K23</f>
        <v>3462612.295</v>
      </c>
      <c r="L15" s="152">
        <f t="shared" si="13"/>
        <v>1511400</v>
      </c>
      <c r="M15" s="152">
        <f t="shared" si="13"/>
        <v>0</v>
      </c>
      <c r="N15" s="152">
        <f t="shared" si="13"/>
        <v>222207</v>
      </c>
      <c r="O15" s="152">
        <f t="shared" si="13"/>
        <v>416857.175</v>
      </c>
      <c r="P15" s="152">
        <f t="shared" si="13"/>
        <v>1243402.1199999996</v>
      </c>
      <c r="Q15" s="152">
        <f t="shared" si="13"/>
        <v>68746</v>
      </c>
      <c r="R15" s="152">
        <f t="shared" si="13"/>
        <v>14944</v>
      </c>
      <c r="S15" s="244">
        <f t="shared" si="13"/>
        <v>632006.3099999998</v>
      </c>
      <c r="T15" s="244">
        <f t="shared" si="13"/>
        <v>227469</v>
      </c>
      <c r="U15" s="244">
        <f t="shared" si="13"/>
        <v>65136.797900000005</v>
      </c>
      <c r="V15" s="244">
        <f t="shared" si="13"/>
        <v>48754.093425</v>
      </c>
      <c r="W15" s="152">
        <f t="shared" si="13"/>
        <v>24510</v>
      </c>
      <c r="X15" s="245">
        <f t="shared" si="3"/>
        <v>1.0871296246332687</v>
      </c>
      <c r="Y15" s="157"/>
    </row>
    <row r="16" spans="1:26" ht="21.75" customHeight="1">
      <c r="A16" s="150" t="s">
        <v>324</v>
      </c>
      <c r="B16" s="151" t="s">
        <v>325</v>
      </c>
      <c r="C16" s="228">
        <f>SUM(C17:C22)</f>
        <v>4031539.5969999996</v>
      </c>
      <c r="D16" s="228">
        <f>SUM(D17:D22)</f>
        <v>3185096.0700000003</v>
      </c>
      <c r="E16" s="152">
        <f>SUM(E17:E22)</f>
        <v>0</v>
      </c>
      <c r="F16" s="152"/>
      <c r="G16" s="152">
        <f>SUM(G17:G22)</f>
        <v>3185096.0700000003</v>
      </c>
      <c r="H16" s="153">
        <f t="shared" si="1"/>
        <v>0.7900445954617771</v>
      </c>
      <c r="I16" s="152"/>
      <c r="J16" s="152">
        <f>SUM(J17:J22)</f>
        <v>4475432.496325</v>
      </c>
      <c r="K16" s="152">
        <f aca="true" t="shared" si="14" ref="K16:W16">SUM(K17:K22)</f>
        <v>3462612.295</v>
      </c>
      <c r="L16" s="152">
        <f t="shared" si="14"/>
        <v>1511400</v>
      </c>
      <c r="M16" s="152">
        <f t="shared" si="14"/>
        <v>0</v>
      </c>
      <c r="N16" s="152">
        <f t="shared" si="14"/>
        <v>222207</v>
      </c>
      <c r="O16" s="152">
        <f t="shared" si="14"/>
        <v>416857.175</v>
      </c>
      <c r="P16" s="152">
        <f t="shared" si="14"/>
        <v>1243402.1199999996</v>
      </c>
      <c r="Q16" s="152">
        <f t="shared" si="14"/>
        <v>68746</v>
      </c>
      <c r="R16" s="152">
        <f t="shared" si="14"/>
        <v>14944</v>
      </c>
      <c r="S16" s="244">
        <f t="shared" si="14"/>
        <v>632006.3099999998</v>
      </c>
      <c r="T16" s="244">
        <f t="shared" si="14"/>
        <v>227469</v>
      </c>
      <c r="U16" s="244">
        <f t="shared" si="14"/>
        <v>65136.797900000005</v>
      </c>
      <c r="V16" s="244">
        <f t="shared" si="14"/>
        <v>48754.093425</v>
      </c>
      <c r="W16" s="152">
        <f t="shared" si="14"/>
        <v>24510</v>
      </c>
      <c r="X16" s="245">
        <f t="shared" si="3"/>
        <v>1.0871296246332687</v>
      </c>
      <c r="Y16" s="157"/>
      <c r="Z16" s="180">
        <f>Z17*3</f>
        <v>74498.01</v>
      </c>
    </row>
    <row r="17" spans="1:26" ht="21.75" customHeight="1">
      <c r="A17" s="150" t="s">
        <v>324</v>
      </c>
      <c r="B17" s="151" t="s">
        <v>317</v>
      </c>
      <c r="C17" s="228">
        <f>'[3]2)人力资源成本预算表'!C17</f>
        <v>486398.9595</v>
      </c>
      <c r="D17" s="228">
        <f>'[3]2)人力资源成本预算表'!D17</f>
        <v>339395.23</v>
      </c>
      <c r="E17" s="228">
        <f>'[3]2)人力资源成本预算表'!E17</f>
        <v>0</v>
      </c>
      <c r="F17" s="229"/>
      <c r="G17" s="152">
        <f>D17+E17</f>
        <v>339395.23</v>
      </c>
      <c r="H17" s="153">
        <f t="shared" si="1"/>
        <v>0.6977712911822131</v>
      </c>
      <c r="I17" s="229"/>
      <c r="J17" s="152">
        <f>K17+R17+S17+T17+U17+V17+W17</f>
        <v>480800.06062500004</v>
      </c>
      <c r="K17" s="152">
        <f>SUM(L17:Q17)</f>
        <v>368821.875</v>
      </c>
      <c r="L17" s="228">
        <f>'[3]2)人力资源成本预算表'!L17</f>
        <v>122850</v>
      </c>
      <c r="M17" s="228">
        <f>'[3]2)人力资源成本预算表'!M17</f>
        <v>0</v>
      </c>
      <c r="N17" s="228">
        <f>'[3]2)人力资源成本预算表'!N17</f>
        <v>3036</v>
      </c>
      <c r="O17" s="228">
        <f>'[3]2)人力资源成本预算表'!O17</f>
        <v>73157.17499999999</v>
      </c>
      <c r="P17" s="228">
        <f>'[3]2)人力资源成本预算表'!P17</f>
        <v>169778.69999999998</v>
      </c>
      <c r="Q17" s="228">
        <f>'[3]2)人力资源成本预算表'!Q17</f>
        <v>0</v>
      </c>
      <c r="R17" s="228">
        <f>'[3]2)人力资源成本预算表'!R17</f>
        <v>0</v>
      </c>
      <c r="S17" s="228">
        <f>'[3]2)人力资源成本预算表'!S17</f>
        <v>51096.42000000001</v>
      </c>
      <c r="T17" s="228">
        <f>'[3]2)人力资源成本预算表'!T17</f>
        <v>23463</v>
      </c>
      <c r="U17" s="228">
        <f>'[3]2)人力资源成本预算表'!U17</f>
        <v>7376.4375</v>
      </c>
      <c r="V17" s="228">
        <f>'[3]2)人力资源成本预算表'!V17</f>
        <v>5532.328125</v>
      </c>
      <c r="W17" s="228">
        <f>'[3]2)人力资源成本预算表'!W17</f>
        <v>24510</v>
      </c>
      <c r="X17" s="245">
        <f t="shared" si="3"/>
        <v>1.0867031778849692</v>
      </c>
      <c r="Y17" s="251" t="s">
        <v>326</v>
      </c>
      <c r="Z17" s="180">
        <v>24832.67</v>
      </c>
    </row>
    <row r="18" spans="1:26" ht="21.75" customHeight="1">
      <c r="A18" s="150" t="s">
        <v>324</v>
      </c>
      <c r="B18" s="151" t="s">
        <v>327</v>
      </c>
      <c r="C18" s="228">
        <f>'[3]2)人力资源成本预算表'!C18+'[4]2)人力资源成本预算表'!C17+'[5]2)人力资源成本预算表'!C17</f>
        <v>828809.63</v>
      </c>
      <c r="D18" s="228">
        <f>'[3]2)人力资源成本预算表'!D18+'[4]2)人力资源成本预算表'!D17+'[5]2)人力资源成本预算表'!D17</f>
        <v>710813.3200000001</v>
      </c>
      <c r="E18" s="228">
        <f>'[3]2)人力资源成本预算表'!E18+'[4]2)人力资源成本预算表'!E17+'[5]2)人力资源成本预算表'!E17</f>
        <v>0</v>
      </c>
      <c r="F18" s="229"/>
      <c r="G18" s="152">
        <f>D18+E18</f>
        <v>710813.3200000001</v>
      </c>
      <c r="H18" s="153">
        <f t="shared" si="1"/>
        <v>0.8576315890538097</v>
      </c>
      <c r="I18" s="229"/>
      <c r="J18" s="152">
        <f aca="true" t="shared" si="15" ref="J18:J23">K18+R18+S18+T18+U18+V18+W18</f>
        <v>917618.8999999999</v>
      </c>
      <c r="K18" s="152">
        <f aca="true" t="shared" si="16" ref="K18:K23">SUM(L18:Q18)</f>
        <v>708788</v>
      </c>
      <c r="L18" s="228">
        <f>'[3]2)人力资源成本预算表'!L18+'[4]2)人力资源成本预算表'!L17+'[5]2)人力资源成本预算表'!L17</f>
        <v>354660</v>
      </c>
      <c r="M18" s="228">
        <f>'[3]2)人力资源成本预算表'!M18+'[4]2)人力资源成本预算表'!M17+'[5]2)人力资源成本预算表'!M17</f>
        <v>0</v>
      </c>
      <c r="N18" s="228">
        <f>'[3]2)人力资源成本预算表'!N18+'[4]2)人力资源成本预算表'!N17+'[5]2)人力资源成本预算表'!N17</f>
        <v>48924</v>
      </c>
      <c r="O18" s="228">
        <f>'[3]2)人力资源成本预算表'!O18+'[4]2)人力资源成本预算表'!O17+'[5]2)人力资源成本预算表'!O17</f>
        <v>71700</v>
      </c>
      <c r="P18" s="228">
        <f>'[3]2)人力资源成本预算表'!P18+'[4]2)人力资源成本预算表'!P17+'[5]2)人力资源成本预算表'!P17</f>
        <v>226400</v>
      </c>
      <c r="Q18" s="228">
        <f>'[3]2)人力资源成本预算表'!Q18+'[4]2)人力资源成本预算表'!Q17+'[5]2)人力资源成本预算表'!Q17</f>
        <v>7104</v>
      </c>
      <c r="R18" s="228">
        <f>'[3]2)人力资源成本预算表'!R18+'[4]2)人力资源成本预算表'!R17+'[5]2)人力资源成本预算表'!R17</f>
        <v>528</v>
      </c>
      <c r="S18" s="228">
        <f>'[3]2)人力资源成本预算表'!S18+'[4]2)人力资源成本预算表'!S17+'[5]2)人力资源成本预算表'!S17</f>
        <v>124277.06999999999</v>
      </c>
      <c r="T18" s="228">
        <f>'[3]2)人力资源成本预算表'!T18+'[4]2)人力资源成本预算表'!T17+'[5]2)人力资源成本预算表'!T17</f>
        <v>58926</v>
      </c>
      <c r="U18" s="228">
        <f>'[3]2)人力资源成本预算表'!U18+'[4]2)人力资源成本预算表'!U17+'[5]2)人力资源成本预算表'!U17</f>
        <v>14342.760000000002</v>
      </c>
      <c r="V18" s="228">
        <f>'[3]2)人力资源成本预算表'!V18+'[4]2)人力资源成本预算表'!V17+'[5]2)人力资源成本预算表'!V17</f>
        <v>10757.07</v>
      </c>
      <c r="W18" s="228">
        <f>'[3]2)人力资源成本预算表'!W18+'[4]2)人力资源成本预算表'!W17+'[5]2)人力资源成本预算表'!W17</f>
        <v>0</v>
      </c>
      <c r="X18" s="245">
        <f t="shared" si="3"/>
        <v>0.9971507005524318</v>
      </c>
      <c r="Y18" s="157"/>
      <c r="Z18" s="180">
        <v>7826</v>
      </c>
    </row>
    <row r="19" spans="1:26" ht="21.75" customHeight="1">
      <c r="A19" s="150" t="s">
        <v>324</v>
      </c>
      <c r="B19" s="151" t="s">
        <v>328</v>
      </c>
      <c r="C19" s="228">
        <f>'[3]2)人力资源成本预算表'!C19+'[4]2)人力资源成本预算表'!C18+'[4]2)人力资源成本预算表'!C19+'[5]2)人力资源成本预算表'!C18+'[5]2)人力资源成本预算表'!C19</f>
        <v>2124165.3175</v>
      </c>
      <c r="D19" s="228">
        <f>'[3]2)人力资源成本预算表'!D19+'[4]2)人力资源成本预算表'!D18+'[4]2)人力资源成本预算表'!D19+'[5]2)人力资源成本预算表'!D18+'[5]2)人力资源成本预算表'!D19</f>
        <v>1855210.86</v>
      </c>
      <c r="E19" s="228">
        <f>'[3]2)人力资源成本预算表'!E19+'[4]2)人力资源成本预算表'!E18+'[4]2)人力资源成本预算表'!E19+'[5]2)人力资源成本预算表'!E18+'[5]2)人力资源成本预算表'!E19</f>
        <v>0</v>
      </c>
      <c r="F19" s="152"/>
      <c r="G19" s="152">
        <f aca="true" t="shared" si="17" ref="G18:G23">D19+E19</f>
        <v>1855210.86</v>
      </c>
      <c r="H19" s="153">
        <f t="shared" si="1"/>
        <v>0.8733834625373974</v>
      </c>
      <c r="I19" s="152"/>
      <c r="J19" s="152">
        <f t="shared" si="15"/>
        <v>2190578.5400000005</v>
      </c>
      <c r="K19" s="152">
        <f t="shared" si="16"/>
        <v>1642837</v>
      </c>
      <c r="L19" s="228">
        <f>'[3]2)人力资源成本预算表'!L19+'[4]2)人力资源成本预算表'!L18+'[4]2)人力资源成本预算表'!L19+'[5]2)人力资源成本预算表'!L18+'[5]2)人力资源成本预算表'!L19</f>
        <v>829590</v>
      </c>
      <c r="M19" s="228">
        <f>'[3]2)人力资源成本预算表'!M19+'[4]2)人力资源成本预算表'!M18+'[4]2)人力资源成本预算表'!M19+'[5]2)人力资源成本预算表'!M18+'[5]2)人力资源成本预算表'!M19</f>
        <v>0</v>
      </c>
      <c r="N19" s="228">
        <f>'[3]2)人力资源成本预算表'!N19+'[4]2)人力资源成本预算表'!N18+'[4]2)人力资源成本预算表'!N19+'[5]2)人力资源成本预算表'!N18+'[5]2)人力资源成本预算表'!N19</f>
        <v>133335</v>
      </c>
      <c r="O19" s="228">
        <f>'[3]2)人力资源成本预算表'!O19+'[4]2)人力资源成本预算表'!O18+'[4]2)人力资源成本预算表'!O19+'[5]2)人力资源成本预算表'!O18+'[5]2)人力资源成本预算表'!O19</f>
        <v>243000</v>
      </c>
      <c r="P19" s="228">
        <f>'[3]2)人力资源成本预算表'!P19+'[4]2)人力资源成本预算表'!P18+'[4]2)人力资源成本预算表'!P19+'[5]2)人力资源成本预算表'!P18+'[5]2)人力资源成本预算表'!P19</f>
        <v>396510</v>
      </c>
      <c r="Q19" s="228">
        <f>'[3]2)人力资源成本预算表'!Q19+'[4]2)人力资源成本预算表'!Q18+'[4]2)人力资源成本预算表'!Q19+'[5]2)人力资源成本预算表'!Q18+'[5]2)人力资源成本预算表'!Q19</f>
        <v>40402</v>
      </c>
      <c r="R19" s="228">
        <f>'[3]2)人力资源成本预算表'!R19+'[4]2)人力资源成本预算表'!R18+'[4]2)人力资源成本预算表'!R19+'[5]2)人力资源成本预算表'!R18+'[5]2)人力资源成本预算表'!R19</f>
        <v>14416</v>
      </c>
      <c r="S19" s="228">
        <f>'[3]2)人力资源成本预算表'!S19+'[4]2)人力资源成本预算表'!S18+'[4]2)人力资源成本预算表'!S19+'[5]2)人力资源成本预算表'!S18+'[5]2)人力资源成本预算表'!S19</f>
        <v>331941.1199999999</v>
      </c>
      <c r="T19" s="228">
        <f>'[3]2)人力资源成本预算表'!T19+'[4]2)人力资源成本预算表'!T18+'[4]2)人力资源成本预算表'!T19+'[5]2)人力资源成本预算表'!T18+'[5]2)人力资源成本预算表'!T19</f>
        <v>143592</v>
      </c>
      <c r="U19" s="228">
        <f>'[3]2)人力资源成本预算表'!U19+'[4]2)人力资源成本预算表'!U18+'[4]2)人力资源成本预算表'!U19+'[5]2)人力资源成本预算表'!U18+'[5]2)人力资源成本预算表'!U19</f>
        <v>33024.240000000005</v>
      </c>
      <c r="V19" s="228">
        <f>'[3]2)人力资源成本预算表'!V19+'[4]2)人力资源成本预算表'!V18+'[4]2)人力资源成本预算表'!V19+'[5]2)人力资源成本预算表'!V18+'[5]2)人力资源成本预算表'!V19</f>
        <v>24768.179999999993</v>
      </c>
      <c r="W19" s="228">
        <f>'[3]2)人力资源成本预算表'!W19+'[4]2)人力资源成本预算表'!W18+'[4]2)人力资源成本预算表'!W19+'[5]2)人力资源成本预算表'!W18+'[5]2)人力资源成本预算表'!W19</f>
        <v>0</v>
      </c>
      <c r="X19" s="245">
        <f t="shared" si="3"/>
        <v>0.8855257563552641</v>
      </c>
      <c r="Y19" s="157"/>
      <c r="Z19" s="180">
        <v>20700</v>
      </c>
    </row>
    <row r="20" spans="1:25" ht="21.75" customHeight="1">
      <c r="A20" s="150"/>
      <c r="B20" s="151" t="s">
        <v>329</v>
      </c>
      <c r="C20" s="228">
        <f>'[3]2)人力资源成本预算表'!C20+'[4]2)人力资源成本预算表'!C20+'[5]2)人力资源成本预算表'!C20</f>
        <v>469152.23</v>
      </c>
      <c r="D20" s="228">
        <f>'[3]2)人力资源成本预算表'!D20+'[4]2)人力资源成本预算表'!D20+'[5]2)人力资源成本预算表'!D20</f>
        <v>274384.66</v>
      </c>
      <c r="E20" s="228">
        <f>'[3]2)人力资源成本预算表'!E20+'[4]2)人力资源成本预算表'!E20+'[5]2)人力资源成本预算表'!E20</f>
        <v>0</v>
      </c>
      <c r="F20" s="152"/>
      <c r="G20" s="152">
        <f t="shared" si="17"/>
        <v>274384.66</v>
      </c>
      <c r="H20" s="153">
        <f t="shared" si="1"/>
        <v>0.5848520852176275</v>
      </c>
      <c r="I20" s="152"/>
      <c r="J20" s="152">
        <f t="shared" si="15"/>
        <v>414829.52499999997</v>
      </c>
      <c r="K20" s="152">
        <f t="shared" si="16"/>
        <v>280285</v>
      </c>
      <c r="L20" s="228">
        <f>'[3]2)人力资源成本预算表'!L20+'[4]2)人力资源成本预算表'!L20+'[5]2)人力资源成本预算表'!L20</f>
        <v>199800</v>
      </c>
      <c r="M20" s="228">
        <f>'[3]2)人力资源成本预算表'!M20+'[4]2)人力资源成本预算表'!M20+'[5]2)人力资源成本预算表'!M20</f>
        <v>0</v>
      </c>
      <c r="N20" s="228">
        <f>'[3]2)人力资源成本预算表'!N20+'[4]2)人力资源成本预算表'!N20+'[5]2)人力资源成本预算表'!N20</f>
        <v>36120</v>
      </c>
      <c r="O20" s="228">
        <f>'[3]2)人力资源成本预算表'!O20+'[4]2)人力资源成本预算表'!O20+'[5]2)人力资源成本预算表'!O20</f>
        <v>0</v>
      </c>
      <c r="P20" s="228">
        <f>'[3]2)人力资源成本预算表'!P20+'[4]2)人力资源成本预算表'!P20+'[5]2)人力资源成本预算表'!P20</f>
        <v>23125</v>
      </c>
      <c r="Q20" s="228">
        <f>'[3]2)人力资源成本预算表'!Q20+'[4]2)人力资源成本预算表'!Q20+'[5]2)人力资源成本预算表'!Q20</f>
        <v>21240</v>
      </c>
      <c r="R20" s="228">
        <f>'[3]2)人力资源成本预算表'!R20+'[4]2)人力资源成本预算表'!R20+'[5]2)人力资源成本预算表'!R20</f>
        <v>0</v>
      </c>
      <c r="S20" s="228">
        <f>'[3]2)人力资源成本预算表'!S20+'[4]2)人力资源成本预算表'!S20+'[5]2)人力资源成本预算表'!S20</f>
        <v>124691.69999999995</v>
      </c>
      <c r="T20" s="228">
        <f>'[3]2)人力资源成本预算表'!T20+'[4]2)人力资源成本预算表'!T20+'[5]2)人力资源成本预算表'!T20</f>
        <v>1488</v>
      </c>
      <c r="U20" s="228">
        <f>'[3]2)人力资源成本预算表'!U20+'[4]2)人力资源成本预算表'!U20+'[5]2)人力资源成本预算表'!U20</f>
        <v>4779.899999999998</v>
      </c>
      <c r="V20" s="228">
        <f>'[3]2)人力资源成本预算表'!V20+'[4]2)人力资源成本预算表'!V20+'[5]2)人力资源成本预算表'!V20</f>
        <v>3584.9249999999997</v>
      </c>
      <c r="W20" s="228">
        <f>'[3]2)人力资源成本预算表'!W20+'[4]2)人力资源成本预算表'!W20+'[5]2)人力资源成本预算表'!W20</f>
        <v>0</v>
      </c>
      <c r="X20" s="245">
        <f t="shared" si="3"/>
        <v>1.0215038989424556</v>
      </c>
      <c r="Y20" s="157"/>
    </row>
    <row r="21" spans="1:25" ht="21.75" customHeight="1">
      <c r="A21" s="150" t="s">
        <v>324</v>
      </c>
      <c r="B21" s="151" t="s">
        <v>330</v>
      </c>
      <c r="C21" s="228">
        <f>'[3]2)人力资源成本预算表'!C21+'[4]2)人力资源成本预算表'!C21+'[5]2)人力资源成本预算表'!C21</f>
        <v>34802.64</v>
      </c>
      <c r="D21" s="228">
        <f>'[3]2)人力资源成本预算表'!D21+'[4]2)人力资源成本预算表'!D21+'[5]2)人力资源成本预算表'!D21</f>
        <v>5292</v>
      </c>
      <c r="E21" s="228">
        <f>'[3]2)人力资源成本预算表'!E21+'[4]2)人力资源成本预算表'!E21+'[5]2)人力资源成本预算表'!E21</f>
        <v>0</v>
      </c>
      <c r="F21" s="229"/>
      <c r="G21" s="152">
        <f t="shared" si="17"/>
        <v>5292</v>
      </c>
      <c r="H21" s="153">
        <f t="shared" si="1"/>
        <v>0.15205743012599043</v>
      </c>
      <c r="I21" s="229"/>
      <c r="J21" s="152">
        <f t="shared" si="15"/>
        <v>6173.34</v>
      </c>
      <c r="K21" s="152">
        <f t="shared" si="16"/>
        <v>6042</v>
      </c>
      <c r="L21" s="228">
        <f>'[3]2)人力资源成本预算表'!L21+'[4]2)人力资源成本预算表'!L21+'[5]2)人力资源成本预算表'!L21</f>
        <v>4500</v>
      </c>
      <c r="M21" s="228">
        <f>'[3]2)人力资源成本预算表'!M21+'[4]2)人力资源成本预算表'!M21+'[5]2)人力资源成本预算表'!M21</f>
        <v>0</v>
      </c>
      <c r="N21" s="228">
        <f>'[3]2)人力资源成本预算表'!N21+'[4]2)人力资源成本预算表'!N21+'[5]2)人力资源成本预算表'!N21</f>
        <v>792</v>
      </c>
      <c r="O21" s="228">
        <f>'[3]2)人力资源成本预算表'!O21+'[4]2)人力资源成本预算表'!O21+'[5]2)人力资源成本预算表'!O21</f>
        <v>0</v>
      </c>
      <c r="P21" s="228">
        <f>'[3]2)人力资源成本预算表'!P21+'[4]2)人力资源成本预算表'!P21+'[5]2)人力资源成本预算表'!P21</f>
        <v>750</v>
      </c>
      <c r="Q21" s="228">
        <f>'[3]2)人力资源成本预算表'!Q21+'[4]2)人力资源成本预算表'!Q21+'[5]2)人力资源成本预算表'!Q21</f>
        <v>0</v>
      </c>
      <c r="R21" s="228">
        <f>'[3]2)人力资源成本预算表'!R21+'[4]2)人力资源成本预算表'!R21+'[5]2)人力资源成本预算表'!R21</f>
        <v>0</v>
      </c>
      <c r="S21" s="228">
        <f>'[3]2)人力资源成本预算表'!S21+'[4]2)人力资源成本预算表'!S21+'[5]2)人力资源成本预算表'!S21</f>
        <v>0</v>
      </c>
      <c r="T21" s="228">
        <f>'[3]2)人力资源成本预算表'!T21+'[4]2)人力资源成本预算表'!T21+'[5]2)人力资源成本预算表'!T21</f>
        <v>0</v>
      </c>
      <c r="U21" s="228">
        <f>'[3]2)人力资源成本预算表'!U21+'[4]2)人力资源成本预算表'!U21+'[5]2)人力资源成本预算表'!U21</f>
        <v>131.34</v>
      </c>
      <c r="V21" s="228">
        <f>'[3]2)人力资源成本预算表'!V21+'[4]2)人力资源成本预算表'!V21+'[5]2)人力资源成本预算表'!V21</f>
        <v>0</v>
      </c>
      <c r="W21" s="228">
        <f>'[3]2)人力资源成本预算表'!W21+'[4]2)人力资源成本预算表'!W21+'[5]2)人力资源成本预算表'!W21</f>
        <v>0</v>
      </c>
      <c r="X21" s="245">
        <f t="shared" si="3"/>
        <v>1.1417233560090703</v>
      </c>
      <c r="Y21" s="157"/>
    </row>
    <row r="22" spans="1:25" ht="21.75" customHeight="1">
      <c r="A22" s="150" t="s">
        <v>324</v>
      </c>
      <c r="B22" s="151" t="s">
        <v>322</v>
      </c>
      <c r="C22" s="228">
        <f>'[3]2)人力资源成本预算表'!C22+'[4]2)人力资源成本预算表'!C22+'[5]2)人力资源成本预算表'!C22</f>
        <v>88210.82</v>
      </c>
      <c r="D22" s="228">
        <f>'[3]2)人力资源成本预算表'!D22+'[4]2)人力资源成本预算表'!D22+'[5]2)人力资源成本预算表'!D22</f>
        <v>0</v>
      </c>
      <c r="E22" s="228">
        <f>'[3]2)人力资源成本预算表'!E22+'[4]2)人力资源成本预算表'!E22+'[5]2)人力资源成本预算表'!E22</f>
        <v>0</v>
      </c>
      <c r="F22" s="229"/>
      <c r="G22" s="152">
        <f t="shared" si="17"/>
        <v>0</v>
      </c>
      <c r="H22" s="153">
        <f t="shared" si="1"/>
        <v>0</v>
      </c>
      <c r="I22" s="229"/>
      <c r="J22" s="152">
        <f t="shared" si="15"/>
        <v>465432.1306999998</v>
      </c>
      <c r="K22" s="152">
        <f t="shared" si="16"/>
        <v>455838.4199999998</v>
      </c>
      <c r="L22" s="228">
        <f>'[3]2)人力资源成本预算表'!L22+'[4]2)人力资源成本预算表'!L22+'[5]2)人力资源成本预算表'!L22</f>
        <v>0</v>
      </c>
      <c r="M22" s="228">
        <f>'[3]2)人力资源成本预算表'!M22+'[4]2)人力资源成本预算表'!M22+'[5]2)人力资源成本预算表'!M22</f>
        <v>0</v>
      </c>
      <c r="N22" s="228">
        <f>'[3]2)人力资源成本预算表'!N22+'[4]2)人力资源成本预算表'!N22+'[5]2)人力资源成本预算表'!N22</f>
        <v>0</v>
      </c>
      <c r="O22" s="228">
        <f>'[3]2)人力资源成本预算表'!O22+'[4]2)人力资源成本预算表'!O22+'[5]2)人力资源成本预算表'!O22</f>
        <v>29000</v>
      </c>
      <c r="P22" s="228">
        <f>'[3]2)人力资源成本预算表'!P22+'[4]2)人力资源成本预算表'!P22+'[5]2)人力资源成本预算表'!P22</f>
        <v>426838.4199999998</v>
      </c>
      <c r="Q22" s="228">
        <f>'[3]2)人力资源成本预算表'!Q22+'[4]2)人力资源成本预算表'!Q22+'[5]2)人力资源成本预算表'!Q22</f>
        <v>0</v>
      </c>
      <c r="R22" s="228">
        <f>'[3]2)人力资源成本预算表'!R22+'[4]2)人力资源成本预算表'!R22+'[5]2)人力资源成本预算表'!R22</f>
        <v>0</v>
      </c>
      <c r="S22" s="228">
        <f>'[3]2)人力资源成本预算表'!S22+'[4]2)人力资源成本预算表'!S22+'[5]2)人力资源成本预算表'!S22</f>
        <v>0</v>
      </c>
      <c r="T22" s="228">
        <f>'[3]2)人力资源成本预算表'!T22+'[4]2)人力资源成本预算表'!T22+'[5]2)人力资源成本预算表'!T22</f>
        <v>0</v>
      </c>
      <c r="U22" s="228">
        <f>'[3]2)人力资源成本预算表'!U22+'[4]2)人力资源成本预算表'!U22+'[5]2)人力资源成本预算表'!U22</f>
        <v>5482.120400000001</v>
      </c>
      <c r="V22" s="228">
        <f>'[3]2)人力资源成本预算表'!V22+'[4]2)人力资源成本预算表'!V22+'[5]2)人力资源成本预算表'!V22</f>
        <v>4111.5903</v>
      </c>
      <c r="W22" s="228">
        <f>'[3]2)人力资源成本预算表'!W22+'[4]2)人力资源成本预算表'!W22+'[5]2)人力资源成本预算表'!W22</f>
        <v>0</v>
      </c>
      <c r="X22" s="245" t="e">
        <f t="shared" si="3"/>
        <v>#DIV/0!</v>
      </c>
      <c r="Y22" s="157"/>
    </row>
    <row r="23" spans="1:25" ht="21.75" customHeight="1">
      <c r="A23" s="150" t="s">
        <v>324</v>
      </c>
      <c r="B23" s="151" t="s">
        <v>323</v>
      </c>
      <c r="C23" s="228">
        <f>'[3]2)人力资源成本预算表'!C23+'[4]2)人力资源成本预算表'!C23+'[5]2)人力资源成本预算表'!C23</f>
        <v>0</v>
      </c>
      <c r="D23" s="228">
        <f>'[3]2)人力资源成本预算表'!D23+'[4]2)人力资源成本预算表'!D23+'[5]2)人力资源成本预算表'!D23</f>
        <v>0</v>
      </c>
      <c r="E23" s="228">
        <f>'[3]2)人力资源成本预算表'!E23+'[4]2)人力资源成本预算表'!E23+'[5]2)人力资源成本预算表'!E23</f>
        <v>0</v>
      </c>
      <c r="F23" s="229"/>
      <c r="G23" s="152">
        <f t="shared" si="17"/>
        <v>0</v>
      </c>
      <c r="H23" s="153" t="e">
        <f t="shared" si="1"/>
        <v>#DIV/0!</v>
      </c>
      <c r="I23" s="229"/>
      <c r="J23" s="152">
        <f t="shared" si="15"/>
        <v>0</v>
      </c>
      <c r="K23" s="152">
        <f t="shared" si="16"/>
        <v>0</v>
      </c>
      <c r="L23" s="228">
        <f>'[3]2)人力资源成本预算表'!L23+'[4]2)人力资源成本预算表'!L23+'[5]2)人力资源成本预算表'!L23</f>
        <v>0</v>
      </c>
      <c r="M23" s="228">
        <f>'[3]2)人力资源成本预算表'!M23+'[4]2)人力资源成本预算表'!M23+'[5]2)人力资源成本预算表'!M23</f>
        <v>0</v>
      </c>
      <c r="N23" s="228">
        <f>'[3]2)人力资源成本预算表'!N23+'[4]2)人力资源成本预算表'!N23+'[5]2)人力资源成本预算表'!N23</f>
        <v>0</v>
      </c>
      <c r="O23" s="228">
        <f>'[3]2)人力资源成本预算表'!O23+'[4]2)人力资源成本预算表'!O23+'[5]2)人力资源成本预算表'!O23</f>
        <v>0</v>
      </c>
      <c r="P23" s="228">
        <f>'[3]2)人力资源成本预算表'!P23+'[4]2)人力资源成本预算表'!P23+'[5]2)人力资源成本预算表'!P23</f>
        <v>0</v>
      </c>
      <c r="Q23" s="228">
        <f>'[3]2)人力资源成本预算表'!Q23+'[4]2)人力资源成本预算表'!Q23+'[5]2)人力资源成本预算表'!Q23</f>
        <v>0</v>
      </c>
      <c r="R23" s="228">
        <f>'[3]2)人力资源成本预算表'!R23+'[4]2)人力资源成本预算表'!R23+'[5]2)人力资源成本预算表'!R23</f>
        <v>0</v>
      </c>
      <c r="S23" s="228">
        <f>'[3]2)人力资源成本预算表'!S23+'[4]2)人力资源成本预算表'!S23+'[5]2)人力资源成本预算表'!S23</f>
        <v>0</v>
      </c>
      <c r="T23" s="228">
        <f>'[3]2)人力资源成本预算表'!T23+'[4]2)人力资源成本预算表'!T23+'[5]2)人力资源成本预算表'!T23</f>
        <v>0</v>
      </c>
      <c r="U23" s="228">
        <f>'[3]2)人力资源成本预算表'!U23+'[4]2)人力资源成本预算表'!U23+'[5]2)人力资源成本预算表'!U23</f>
        <v>0</v>
      </c>
      <c r="V23" s="228">
        <f>'[3]2)人力资源成本预算表'!V23+'[4]2)人力资源成本预算表'!V23+'[5]2)人力资源成本预算表'!V23</f>
        <v>0</v>
      </c>
      <c r="W23" s="228">
        <f>'[3]2)人力资源成本预算表'!W23+'[4]2)人力资源成本预算表'!W23+'[5]2)人力资源成本预算表'!W23</f>
        <v>0</v>
      </c>
      <c r="X23" s="245" t="e">
        <f t="shared" si="3"/>
        <v>#DIV/0!</v>
      </c>
      <c r="Y23" s="157"/>
    </row>
    <row r="24" spans="1:25" ht="21.75" customHeight="1">
      <c r="A24" s="150" t="s">
        <v>331</v>
      </c>
      <c r="B24" s="151" t="s">
        <v>315</v>
      </c>
      <c r="C24" s="228">
        <f>C25+C32</f>
        <v>4358073.626999999</v>
      </c>
      <c r="D24" s="228">
        <f>D25+D32</f>
        <v>3486738.08</v>
      </c>
      <c r="E24" s="152">
        <f>E25+E32</f>
        <v>0</v>
      </c>
      <c r="F24" s="152"/>
      <c r="G24" s="152">
        <f>G25+G32</f>
        <v>3486738.08</v>
      </c>
      <c r="H24" s="153">
        <f t="shared" si="1"/>
        <v>0.8000640600466846</v>
      </c>
      <c r="I24" s="152"/>
      <c r="J24" s="152">
        <f>J25+J32</f>
        <v>4655238.885625</v>
      </c>
      <c r="K24" s="152">
        <f aca="true" t="shared" si="18" ref="K24:W24">K25+K32</f>
        <v>3558712.295</v>
      </c>
      <c r="L24" s="152">
        <f t="shared" si="18"/>
        <v>1511400</v>
      </c>
      <c r="M24" s="152">
        <f t="shared" si="18"/>
        <v>0</v>
      </c>
      <c r="N24" s="152">
        <f t="shared" si="18"/>
        <v>348207</v>
      </c>
      <c r="O24" s="152">
        <f t="shared" si="18"/>
        <v>387857.175</v>
      </c>
      <c r="P24" s="152">
        <f t="shared" si="18"/>
        <v>1243402.1199999996</v>
      </c>
      <c r="Q24" s="152">
        <f t="shared" si="18"/>
        <v>67846</v>
      </c>
      <c r="R24" s="152">
        <f t="shared" si="18"/>
        <v>106744</v>
      </c>
      <c r="S24" s="244">
        <f t="shared" si="18"/>
        <v>632006.3099999998</v>
      </c>
      <c r="T24" s="244">
        <f t="shared" si="18"/>
        <v>227469</v>
      </c>
      <c r="U24" s="244">
        <f t="shared" si="18"/>
        <v>60511.877499999995</v>
      </c>
      <c r="V24" s="244">
        <f t="shared" si="18"/>
        <v>45285.403125</v>
      </c>
      <c r="W24" s="152">
        <f t="shared" si="18"/>
        <v>24510</v>
      </c>
      <c r="X24" s="245">
        <f t="shared" si="3"/>
        <v>1.0206422774950734</v>
      </c>
      <c r="Y24" s="157"/>
    </row>
    <row r="25" spans="1:25" ht="21.75" customHeight="1">
      <c r="A25" s="150" t="s">
        <v>331</v>
      </c>
      <c r="B25" s="151" t="s">
        <v>325</v>
      </c>
      <c r="C25" s="228">
        <f>SUM(C26:C31)</f>
        <v>4358073.626999999</v>
      </c>
      <c r="D25" s="228">
        <f>SUM(D26:D31)</f>
        <v>3486738.08</v>
      </c>
      <c r="E25" s="152">
        <f>SUM(E26:E31)</f>
        <v>0</v>
      </c>
      <c r="F25" s="152"/>
      <c r="G25" s="152">
        <f>SUM(G26:G31)</f>
        <v>3486738.08</v>
      </c>
      <c r="H25" s="153">
        <f t="shared" si="1"/>
        <v>0.8000640600466846</v>
      </c>
      <c r="I25" s="152"/>
      <c r="J25" s="152">
        <f>SUM(J26:J31)</f>
        <v>4655238.885625</v>
      </c>
      <c r="K25" s="152">
        <f aca="true" t="shared" si="19" ref="K25:W25">SUM(K26:K31)</f>
        <v>3558712.295</v>
      </c>
      <c r="L25" s="152">
        <f t="shared" si="19"/>
        <v>1511400</v>
      </c>
      <c r="M25" s="152">
        <f t="shared" si="19"/>
        <v>0</v>
      </c>
      <c r="N25" s="152">
        <f t="shared" si="19"/>
        <v>348207</v>
      </c>
      <c r="O25" s="152">
        <f t="shared" si="19"/>
        <v>387857.175</v>
      </c>
      <c r="P25" s="152">
        <f t="shared" si="19"/>
        <v>1243402.1199999996</v>
      </c>
      <c r="Q25" s="152">
        <f t="shared" si="19"/>
        <v>67846</v>
      </c>
      <c r="R25" s="152">
        <f t="shared" si="19"/>
        <v>106744</v>
      </c>
      <c r="S25" s="244">
        <f t="shared" si="19"/>
        <v>632006.3099999998</v>
      </c>
      <c r="T25" s="244">
        <f t="shared" si="19"/>
        <v>227469</v>
      </c>
      <c r="U25" s="244">
        <f t="shared" si="19"/>
        <v>60511.877499999995</v>
      </c>
      <c r="V25" s="244">
        <f t="shared" si="19"/>
        <v>45285.403125</v>
      </c>
      <c r="W25" s="152">
        <f t="shared" si="19"/>
        <v>24510</v>
      </c>
      <c r="X25" s="245">
        <f t="shared" si="3"/>
        <v>1.0206422774950734</v>
      </c>
      <c r="Y25" s="157"/>
    </row>
    <row r="26" spans="1:25" ht="21.75" customHeight="1">
      <c r="A26" s="150" t="s">
        <v>331</v>
      </c>
      <c r="B26" s="151" t="s">
        <v>332</v>
      </c>
      <c r="C26" s="228">
        <f>'[3]2)人力资源成本预算表'!C26</f>
        <v>486398.9595</v>
      </c>
      <c r="D26" s="228">
        <f>'[3]2)人力资源成本预算表'!D26</f>
        <v>339523.75</v>
      </c>
      <c r="E26" s="228">
        <f>'[3]2)人力资源成本预算表'!E26</f>
        <v>0</v>
      </c>
      <c r="F26" s="229"/>
      <c r="G26" s="152">
        <f aca="true" t="shared" si="20" ref="G26:G32">D26+E26</f>
        <v>339523.75</v>
      </c>
      <c r="H26" s="153">
        <f t="shared" si="1"/>
        <v>0.6980355187211291</v>
      </c>
      <c r="I26" s="229"/>
      <c r="J26" s="152">
        <f>K26+R26+S26+T26+U26+V26+W26</f>
        <v>480800.06062500004</v>
      </c>
      <c r="K26" s="152">
        <f>SUM(L26:Q26)</f>
        <v>368821.875</v>
      </c>
      <c r="L26" s="228">
        <f>'[3]2)人力资源成本预算表'!L26</f>
        <v>122850</v>
      </c>
      <c r="M26" s="228">
        <f>'[3]2)人力资源成本预算表'!M26</f>
        <v>0</v>
      </c>
      <c r="N26" s="228">
        <f>'[3]2)人力资源成本预算表'!N26</f>
        <v>3036</v>
      </c>
      <c r="O26" s="228">
        <f>'[3]2)人力资源成本预算表'!O26</f>
        <v>73157.17499999999</v>
      </c>
      <c r="P26" s="228">
        <f>'[3]2)人力资源成本预算表'!P26</f>
        <v>169778.69999999998</v>
      </c>
      <c r="Q26" s="228">
        <f>'[3]2)人力资源成本预算表'!Q26</f>
        <v>0</v>
      </c>
      <c r="R26" s="228">
        <f>'[3]2)人力资源成本预算表'!R26</f>
        <v>0</v>
      </c>
      <c r="S26" s="228">
        <f>'[3]2)人力资源成本预算表'!S26</f>
        <v>51096.42000000001</v>
      </c>
      <c r="T26" s="228">
        <f>'[3]2)人力资源成本预算表'!T26</f>
        <v>23463</v>
      </c>
      <c r="U26" s="228">
        <f>'[3]2)人力资源成本预算表'!U26</f>
        <v>7376.4375</v>
      </c>
      <c r="V26" s="228">
        <f>'[3]2)人力资源成本预算表'!V26</f>
        <v>5532.328125</v>
      </c>
      <c r="W26" s="228">
        <f>'[3]2)人力资源成本预算表'!W26</f>
        <v>24510</v>
      </c>
      <c r="X26" s="245">
        <f t="shared" si="3"/>
        <v>1.086291827891274</v>
      </c>
      <c r="Y26" s="252"/>
    </row>
    <row r="27" spans="1:25" ht="21.75" customHeight="1">
      <c r="A27" s="150" t="s">
        <v>331</v>
      </c>
      <c r="B27" s="151" t="s">
        <v>327</v>
      </c>
      <c r="C27" s="228">
        <f>'[3]2)人力资源成本预算表'!C27+'[4]2)人力资源成本预算表'!C26+'[5]2)人力资源成本预算表'!C26</f>
        <v>957016.1649999999</v>
      </c>
      <c r="D27" s="228">
        <f>'[3]2)人力资源成本预算表'!D27+'[4]2)人力资源成本预算表'!D26+'[5]2)人力资源成本预算表'!D26</f>
        <v>796947.37</v>
      </c>
      <c r="E27" s="228">
        <f>'[3]2)人力资源成本预算表'!E27+'[4]2)人力资源成本预算表'!E26+'[5]2)人力资源成本预算表'!E26</f>
        <v>0</v>
      </c>
      <c r="F27" s="229"/>
      <c r="G27" s="152">
        <f t="shared" si="20"/>
        <v>796947.37</v>
      </c>
      <c r="H27" s="153">
        <f t="shared" si="1"/>
        <v>0.8327418064040748</v>
      </c>
      <c r="I27" s="229"/>
      <c r="J27" s="152">
        <f aca="true" t="shared" si="21" ref="J27:J32">K27+R27+S27+T27+U27+V27+W27</f>
        <v>940813.82</v>
      </c>
      <c r="K27" s="152">
        <f aca="true" t="shared" si="22" ref="K27:K32">SUM(L27:Q27)</f>
        <v>728100</v>
      </c>
      <c r="L27" s="228">
        <f>'[3]2)人力资源成本预算表'!L27+'[4]2)人力资源成本预算表'!L26+'[5]2)人力资源成本预算表'!L26</f>
        <v>354660</v>
      </c>
      <c r="M27" s="228">
        <f>'[3]2)人力资源成本预算表'!M27+'[4]2)人力资源成本预算表'!M26+'[5]2)人力资源成本预算表'!M26</f>
        <v>0</v>
      </c>
      <c r="N27" s="228">
        <f>'[3]2)人力资源成本预算表'!N27+'[4]2)人力资源成本预算表'!N26+'[5]2)人力资源成本预算表'!N26</f>
        <v>68724</v>
      </c>
      <c r="O27" s="228">
        <f>'[3]2)人力资源成本预算表'!O27+'[4]2)人力资源成本预算表'!O26+'[5]2)人力资源成本预算表'!O26</f>
        <v>71700</v>
      </c>
      <c r="P27" s="228">
        <f>'[3]2)人力资源成本预算表'!P27+'[4]2)人力资源成本预算表'!P26+'[5]2)人力资源成本预算表'!P26</f>
        <v>226400</v>
      </c>
      <c r="Q27" s="228">
        <f>'[3]2)人力资源成本预算表'!Q27+'[4]2)人力资源成本预算表'!Q26+'[5]2)人力资源成本预算表'!Q26</f>
        <v>6616</v>
      </c>
      <c r="R27" s="228">
        <f>'[3]2)人力资源成本预算表'!R27+'[4]2)人力资源成本预算表'!R26+'[5]2)人力资源成本预算表'!R26</f>
        <v>4428</v>
      </c>
      <c r="S27" s="228">
        <f>'[3]2)人力资源成本预算表'!S27+'[4]2)人力资源成本预算表'!S26+'[5]2)人力资源成本预算表'!S26</f>
        <v>124277.06999999999</v>
      </c>
      <c r="T27" s="228">
        <f>'[3]2)人力资源成本预算表'!T27+'[4]2)人力资源成本预算表'!T26+'[5]2)人力资源成本预算表'!T26</f>
        <v>58926</v>
      </c>
      <c r="U27" s="228">
        <f>'[3]2)人力资源成本预算表'!U27+'[4]2)人力资源成本预算表'!U26+'[5]2)人力资源成本预算表'!U26</f>
        <v>14333</v>
      </c>
      <c r="V27" s="228">
        <f>'[3]2)人力资源成本预算表'!V27+'[4]2)人力资源成本预算表'!V26+'[5]2)人力资源成本预算表'!V26</f>
        <v>10749.75</v>
      </c>
      <c r="W27" s="228">
        <f>'[3]2)人力资源成本预算表'!W27+'[4]2)人力资源成本预算表'!W26+'[5]2)人力资源成本预算表'!W26</f>
        <v>0</v>
      </c>
      <c r="X27" s="245">
        <f t="shared" si="3"/>
        <v>0.9136111459907321</v>
      </c>
      <c r="Y27" s="253"/>
    </row>
    <row r="28" spans="1:25" ht="21.75" customHeight="1">
      <c r="A28" s="150"/>
      <c r="B28" s="151" t="s">
        <v>328</v>
      </c>
      <c r="C28" s="228">
        <f>'[3]2)人力资源成本预算表'!C28+'[4]2)人力资源成本预算表'!C27+'[4]2)人力资源成本预算表'!C28+'[5]2)人力资源成本预算表'!C27+'[5]2)人力资源成本预算表'!C28</f>
        <v>2319722.8125</v>
      </c>
      <c r="D28" s="228">
        <f>'[3]2)人力资源成本预算表'!D28+'[4]2)人力资源成本预算表'!D27+'[4]2)人力资源成本预算表'!D28+'[5]2)人力资源成本预算表'!D27+'[5]2)人力资源成本预算表'!D28</f>
        <v>1964068.4600000002</v>
      </c>
      <c r="E28" s="228">
        <f>'[3]2)人力资源成本预算表'!E28+'[4]2)人力资源成本预算表'!E27+'[4]2)人力资源成本预算表'!E28+'[5]2)人力资源成本预算表'!E27+'[5]2)人力资源成本预算表'!E28</f>
        <v>0</v>
      </c>
      <c r="F28" s="229"/>
      <c r="G28" s="152">
        <f t="shared" si="20"/>
        <v>1964068.4600000002</v>
      </c>
      <c r="H28" s="153">
        <f t="shared" si="1"/>
        <v>0.8466823921446435</v>
      </c>
      <c r="I28" s="229"/>
      <c r="J28" s="152">
        <f t="shared" si="21"/>
        <v>2328396.52</v>
      </c>
      <c r="K28" s="152">
        <f t="shared" si="22"/>
        <v>1720725</v>
      </c>
      <c r="L28" s="228">
        <f>'[3]2)人力资源成本预算表'!L28+'[4]2)人力资源成本预算表'!L27+'[4]2)人力资源成本预算表'!L28+'[5]2)人力资源成本预算表'!L27+'[5]2)人力资源成本预算表'!L28</f>
        <v>829590</v>
      </c>
      <c r="M28" s="228">
        <f>'[3]2)人力资源成本预算表'!M28+'[4]2)人力资源成本预算表'!M27+'[4]2)人力资源成本预算表'!M28+'[5]2)人力资源成本预算表'!M27+'[5]2)人力资源成本预算表'!M28</f>
        <v>0</v>
      </c>
      <c r="N28" s="228">
        <f>'[3]2)人力资源成本预算表'!N28+'[4]2)人力资源成本预算表'!N27+'[4]2)人力资源成本预算表'!N28+'[5]2)人力资源成本预算表'!N27+'[5]2)人力资源成本预算表'!N28</f>
        <v>211635</v>
      </c>
      <c r="O28" s="228">
        <f>'[3]2)人力资源成本预算表'!O28+'[4]2)人力资源成本预算表'!O27+'[4]2)人力资源成本预算表'!O28+'[5]2)人力资源成本预算表'!O27+'[5]2)人力资源成本预算表'!O28</f>
        <v>243000</v>
      </c>
      <c r="P28" s="228">
        <f>'[3]2)人力资源成本预算表'!P28+'[4]2)人力资源成本预算表'!P27+'[4]2)人力资源成本预算表'!P28+'[5]2)人力资源成本预算表'!P27+'[5]2)人力资源成本预算表'!P28</f>
        <v>396510</v>
      </c>
      <c r="Q28" s="228">
        <f>'[3]2)人力资源成本预算表'!Q28+'[4]2)人力资源成本预算表'!Q27+'[4]2)人力资源成本预算表'!Q28+'[5]2)人力资源成本预算表'!Q27+'[5]2)人力资源成本预算表'!Q28</f>
        <v>39990</v>
      </c>
      <c r="R28" s="228">
        <f>'[3]2)人力资源成本预算表'!R28+'[4]2)人力资源成本预算表'!R27+'[4]2)人力资源成本预算表'!R28+'[5]2)人力资源成本预算表'!R27+'[5]2)人力资源成本预算表'!R28</f>
        <v>74366</v>
      </c>
      <c r="S28" s="228">
        <f>'[3]2)人力资源成本预算表'!S28+'[4]2)人力资源成本预算表'!S27+'[4]2)人力资源成本预算表'!S28+'[5]2)人力资源成本预算表'!S27+'[5]2)人力资源成本预算表'!S28</f>
        <v>331941.1199999999</v>
      </c>
      <c r="T28" s="228">
        <f>'[3]2)人力资源成本预算表'!T28+'[4]2)人力资源成本预算表'!T27+'[4]2)人力资源成本预算表'!T28+'[5]2)人力资源成本预算表'!T27+'[5]2)人力资源成本预算表'!T28</f>
        <v>143592</v>
      </c>
      <c r="U28" s="228">
        <f>'[3]2)人力资源成本预算表'!U28+'[4]2)人力资源成本预算表'!U27+'[4]2)人力资源成本预算表'!U28+'[5]2)人力资源成本预算表'!U27+'[5]2)人力资源成本预算表'!U28</f>
        <v>33012.8</v>
      </c>
      <c r="V28" s="228">
        <f>'[3]2)人力资源成本预算表'!V28+'[4]2)人力资源成本预算表'!V27+'[4]2)人力资源成本预算表'!V28+'[5]2)人力资源成本预算表'!V27+'[5]2)人力资源成本预算表'!V28</f>
        <v>24759.59999999999</v>
      </c>
      <c r="W28" s="228">
        <f>'[3]2)人力资源成本预算表'!W28+'[4]2)人力资源成本预算表'!W27+'[4]2)人力资源成本预算表'!W28+'[5]2)人力资源成本预算表'!W27+'[5]2)人力资源成本预算表'!W28</f>
        <v>0</v>
      </c>
      <c r="X28" s="245">
        <f t="shared" si="3"/>
        <v>0.8761023533772341</v>
      </c>
      <c r="Y28" s="252" t="s">
        <v>333</v>
      </c>
    </row>
    <row r="29" spans="1:25" ht="21.75" customHeight="1">
      <c r="A29" s="150" t="s">
        <v>331</v>
      </c>
      <c r="B29" s="151" t="s">
        <v>329</v>
      </c>
      <c r="C29" s="228">
        <f>'[3]2)人力资源成本预算表'!C29+'[4]2)人力资源成本预算表'!C29+'[5]2)人力资源成本预算表'!C29</f>
        <v>471022.23</v>
      </c>
      <c r="D29" s="228">
        <f>'[3]2)人力资源成本预算表'!D29+'[4]2)人力资源成本预算表'!D29+'[5]2)人力资源成本预算表'!D29</f>
        <v>380306.5</v>
      </c>
      <c r="E29" s="228">
        <f>'[3]2)人力资源成本预算表'!E29+'[4]2)人力资源成本预算表'!E29+'[5]2)人力资源成本预算表'!E29</f>
        <v>0</v>
      </c>
      <c r="F29" s="152"/>
      <c r="G29" s="152">
        <f t="shared" si="20"/>
        <v>380306.5</v>
      </c>
      <c r="H29" s="153">
        <f t="shared" si="1"/>
        <v>0.8074066907627694</v>
      </c>
      <c r="I29" s="152"/>
      <c r="J29" s="152">
        <f t="shared" si="21"/>
        <v>469129.52499999997</v>
      </c>
      <c r="K29" s="152">
        <f t="shared" si="22"/>
        <v>307285</v>
      </c>
      <c r="L29" s="228">
        <f>'[3]2)人力资源成本预算表'!L29+'[4]2)人力资源成本预算表'!L29+'[5]2)人力资源成本预算表'!L29</f>
        <v>199800</v>
      </c>
      <c r="M29" s="228">
        <f>'[3]2)人力资源成本预算表'!M29+'[4]2)人力资源成本预算表'!M29+'[5]2)人力资源成本预算表'!M29</f>
        <v>0</v>
      </c>
      <c r="N29" s="228">
        <f>'[3]2)人力资源成本预算表'!N29+'[4]2)人力资源成本预算表'!N29+'[5]2)人力资源成本预算表'!N29</f>
        <v>63120</v>
      </c>
      <c r="O29" s="228">
        <f>'[3]2)人力资源成本预算表'!O29+'[4]2)人力资源成本预算表'!O29+'[5]2)人力资源成本预算表'!O29</f>
        <v>0</v>
      </c>
      <c r="P29" s="228">
        <f>'[3]2)人力资源成本预算表'!P29+'[4]2)人力资源成本预算表'!P29+'[5]2)人力资源成本预算表'!P29</f>
        <v>23125</v>
      </c>
      <c r="Q29" s="228">
        <f>'[3]2)人力资源成本预算表'!Q29+'[4]2)人力资源成本预算表'!Q29+'[5]2)人力资源成本预算表'!Q29</f>
        <v>21240</v>
      </c>
      <c r="R29" s="228">
        <f>'[3]2)人力资源成本预算表'!R29+'[4]2)人力资源成本预算表'!R29+'[5]2)人力资源成本预算表'!R29</f>
        <v>27300</v>
      </c>
      <c r="S29" s="228">
        <f>'[3]2)人力资源成本预算表'!S29+'[4]2)人力资源成本预算表'!S29+'[5]2)人力资源成本预算表'!S29</f>
        <v>124691.69999999995</v>
      </c>
      <c r="T29" s="228">
        <f>'[3]2)人力资源成本预算表'!T29+'[4]2)人力资源成本预算表'!T29+'[5]2)人力资源成本预算表'!T29</f>
        <v>1488</v>
      </c>
      <c r="U29" s="228">
        <f>'[3]2)人力资源成本预算表'!U29+'[4]2)人力资源成本预算表'!U29+'[5]2)人力资源成本预算表'!U29</f>
        <v>4779.899999999998</v>
      </c>
      <c r="V29" s="228">
        <f>'[3]2)人力资源成本预算表'!V29+'[4]2)人力资源成本预算表'!V29+'[5]2)人力资源成本预算表'!V29</f>
        <v>3584.9249999999997</v>
      </c>
      <c r="W29" s="228">
        <f>'[3]2)人力资源成本预算表'!W29+'[4]2)人力资源成本预算表'!W29+'[5]2)人力资源成本预算表'!W29</f>
        <v>0</v>
      </c>
      <c r="X29" s="245">
        <f t="shared" si="3"/>
        <v>0.807993026677167</v>
      </c>
      <c r="Y29" s="157"/>
    </row>
    <row r="30" spans="1:25" ht="21.75" customHeight="1">
      <c r="A30" s="150" t="s">
        <v>331</v>
      </c>
      <c r="B30" s="151" t="s">
        <v>330</v>
      </c>
      <c r="C30" s="228">
        <f>'[3]2)人力资源成本预算表'!C30+'[4]2)人力资源成本预算表'!C30+'[5]2)人力资源成本预算表'!C30</f>
        <v>35702.64</v>
      </c>
      <c r="D30" s="228">
        <f>'[3]2)人力资源成本预算表'!D30+'[4]2)人力资源成本预算表'!D30+'[5]2)人力资源成本预算表'!D30</f>
        <v>5892</v>
      </c>
      <c r="E30" s="228">
        <f>'[3]2)人力资源成本预算表'!E30+'[4]2)人力资源成本预算表'!E30+'[5]2)人力资源成本预算表'!E30</f>
        <v>0</v>
      </c>
      <c r="F30" s="229"/>
      <c r="G30" s="152">
        <f t="shared" si="20"/>
        <v>5892</v>
      </c>
      <c r="H30" s="153">
        <f t="shared" si="1"/>
        <v>0.1650298129213974</v>
      </c>
      <c r="I30" s="229"/>
      <c r="J30" s="152">
        <f t="shared" si="21"/>
        <v>7723.34</v>
      </c>
      <c r="K30" s="152">
        <f t="shared" si="22"/>
        <v>6942</v>
      </c>
      <c r="L30" s="228">
        <f>'[3]2)人力资源成本预算表'!L30+'[4]2)人力资源成本预算表'!L30+'[5]2)人力资源成本预算表'!L30</f>
        <v>4500</v>
      </c>
      <c r="M30" s="228">
        <f>'[3]2)人力资源成本预算表'!M30+'[4]2)人力资源成本预算表'!M30+'[5]2)人力资源成本预算表'!M30</f>
        <v>0</v>
      </c>
      <c r="N30" s="228">
        <f>'[3]2)人力资源成本预算表'!N30+'[4]2)人力资源成本预算表'!N30+'[5]2)人力资源成本预算表'!N30</f>
        <v>1692</v>
      </c>
      <c r="O30" s="228">
        <f>'[3]2)人力资源成本预算表'!O30+'[4]2)人力资源成本预算表'!O30+'[5]2)人力资源成本预算表'!O30</f>
        <v>0</v>
      </c>
      <c r="P30" s="228">
        <f>'[3]2)人力资源成本预算表'!P30+'[4]2)人力资源成本预算表'!P30+'[5]2)人力资源成本预算表'!P30</f>
        <v>750</v>
      </c>
      <c r="Q30" s="228">
        <f>'[3]2)人力资源成本预算表'!Q30+'[4]2)人力资源成本预算表'!Q30+'[5]2)人力资源成本预算表'!Q30</f>
        <v>0</v>
      </c>
      <c r="R30" s="228">
        <f>'[3]2)人力资源成本预算表'!R30+'[4]2)人力资源成本预算表'!R30+'[5]2)人力资源成本预算表'!R30</f>
        <v>650</v>
      </c>
      <c r="S30" s="228">
        <f>'[3]2)人力资源成本预算表'!S30+'[4]2)人力资源成本预算表'!S30+'[5]2)人力资源成本预算表'!S30</f>
        <v>0</v>
      </c>
      <c r="T30" s="228">
        <f>'[3]2)人力资源成本预算表'!T30+'[4]2)人力资源成本预算表'!T30+'[5]2)人力资源成本预算表'!T30</f>
        <v>0</v>
      </c>
      <c r="U30" s="228">
        <f>'[3]2)人力资源成本预算表'!U30+'[4]2)人力资源成本预算表'!U30+'[5]2)人力资源成本预算表'!U30</f>
        <v>131.34</v>
      </c>
      <c r="V30" s="228">
        <f>'[3]2)人力资源成本预算表'!V30+'[4]2)人力资源成本预算表'!V30+'[5]2)人力资源成本预算表'!V30</f>
        <v>0</v>
      </c>
      <c r="W30" s="228">
        <f>'[3]2)人力资源成本预算表'!W30+'[4]2)人力资源成本预算表'!W30+'[5]2)人力资源成本预算表'!W30</f>
        <v>0</v>
      </c>
      <c r="X30" s="245">
        <f t="shared" si="3"/>
        <v>1.1782077393075356</v>
      </c>
      <c r="Y30" s="157"/>
    </row>
    <row r="31" spans="1:25" ht="21.75" customHeight="1">
      <c r="A31" s="150" t="s">
        <v>331</v>
      </c>
      <c r="B31" s="151" t="s">
        <v>322</v>
      </c>
      <c r="C31" s="228">
        <f>'[3]2)人力资源成本预算表'!C31+'[4]2)人力资源成本预算表'!C31+'[5]2)人力资源成本预算表'!C31</f>
        <v>88210.82</v>
      </c>
      <c r="D31" s="228">
        <f>'[3]2)人力资源成本预算表'!D31+'[4]2)人力资源成本预算表'!D31+'[5]2)人力资源成本预算表'!D31</f>
        <v>0</v>
      </c>
      <c r="E31" s="228">
        <f>'[3]2)人力资源成本预算表'!E31+'[4]2)人力资源成本预算表'!E31+'[5]2)人力资源成本预算表'!E31</f>
        <v>0</v>
      </c>
      <c r="F31" s="229"/>
      <c r="G31" s="152">
        <f t="shared" si="20"/>
        <v>0</v>
      </c>
      <c r="H31" s="153">
        <f t="shared" si="1"/>
        <v>0</v>
      </c>
      <c r="I31" s="229"/>
      <c r="J31" s="152">
        <f t="shared" si="21"/>
        <v>428375.6199999998</v>
      </c>
      <c r="K31" s="152">
        <f t="shared" si="22"/>
        <v>426838.4199999998</v>
      </c>
      <c r="L31" s="228">
        <f>'[3]2)人力资源成本预算表'!L31+'[4]2)人力资源成本预算表'!L31+'[5]2)人力资源成本预算表'!L31</f>
        <v>0</v>
      </c>
      <c r="M31" s="228">
        <f>'[3]2)人力资源成本预算表'!M31+'[4]2)人力资源成本预算表'!M31+'[5]2)人力资源成本预算表'!M31</f>
        <v>0</v>
      </c>
      <c r="N31" s="228">
        <f>'[3]2)人力资源成本预算表'!N31+'[4]2)人力资源成本预算表'!N31+'[5]2)人力资源成本预算表'!N31</f>
        <v>0</v>
      </c>
      <c r="O31" s="228">
        <f>'[3]2)人力资源成本预算表'!O31+'[4]2)人力资源成本预算表'!O31+'[5]2)人力资源成本预算表'!O31</f>
        <v>0</v>
      </c>
      <c r="P31" s="228">
        <f>'[3]2)人力资源成本预算表'!P31+'[4]2)人力资源成本预算表'!P31+'[5]2)人力资源成本预算表'!P31</f>
        <v>426838.4199999998</v>
      </c>
      <c r="Q31" s="228">
        <f>'[3]2)人力资源成本预算表'!Q31+'[4]2)人力资源成本预算表'!Q31+'[5]2)人力资源成本预算表'!Q31</f>
        <v>0</v>
      </c>
      <c r="R31" s="228">
        <f>'[3]2)人力资源成本预算表'!R31+'[4]2)人力资源成本预算表'!R31+'[5]2)人力资源成本预算表'!R31</f>
        <v>0</v>
      </c>
      <c r="S31" s="228">
        <f>'[3]2)人力资源成本预算表'!S31+'[4]2)人力资源成本预算表'!S31+'[5]2)人力资源成本预算表'!S31</f>
        <v>0</v>
      </c>
      <c r="T31" s="228">
        <f>'[3]2)人力资源成本预算表'!T31+'[4]2)人力资源成本预算表'!T31+'[5]2)人力资源成本预算表'!T31</f>
        <v>0</v>
      </c>
      <c r="U31" s="228">
        <f>'[3]2)人力资源成本预算表'!U31+'[4]2)人力资源成本预算表'!U31+'[5]2)人力资源成本预算表'!U31</f>
        <v>878.4</v>
      </c>
      <c r="V31" s="228">
        <f>'[3]2)人力资源成本预算表'!V31+'[4]2)人力资源成本预算表'!V31+'[5]2)人力资源成本预算表'!V31</f>
        <v>658.8</v>
      </c>
      <c r="W31" s="228">
        <f>'[3]2)人力资源成本预算表'!W31+'[4]2)人力资源成本预算表'!W31+'[5]2)人力资源成本预算表'!W31</f>
        <v>0</v>
      </c>
      <c r="X31" s="245" t="e">
        <f t="shared" si="3"/>
        <v>#DIV/0!</v>
      </c>
      <c r="Y31" s="157"/>
    </row>
    <row r="32" spans="1:25" ht="21.75" customHeight="1">
      <c r="A32" s="150" t="s">
        <v>331</v>
      </c>
      <c r="B32" s="151" t="s">
        <v>323</v>
      </c>
      <c r="C32" s="228">
        <f>'[3]2)人力资源成本预算表'!C32+'[4]2)人力资源成本预算表'!C32+'[5]2)人力资源成本预算表'!C32</f>
        <v>0</v>
      </c>
      <c r="D32" s="228">
        <f>'[3]2)人力资源成本预算表'!D32+'[4]2)人力资源成本预算表'!D32+'[5]2)人力资源成本预算表'!D32</f>
        <v>0</v>
      </c>
      <c r="E32" s="228">
        <f>'[3]2)人力资源成本预算表'!E32+'[4]2)人力资源成本预算表'!E32+'[5]2)人力资源成本预算表'!E32</f>
        <v>0</v>
      </c>
      <c r="F32" s="229"/>
      <c r="G32" s="152">
        <f t="shared" si="20"/>
        <v>0</v>
      </c>
      <c r="H32" s="153" t="e">
        <f t="shared" si="1"/>
        <v>#DIV/0!</v>
      </c>
      <c r="I32" s="229"/>
      <c r="J32" s="152">
        <f t="shared" si="21"/>
        <v>0</v>
      </c>
      <c r="K32" s="152">
        <f t="shared" si="22"/>
        <v>0</v>
      </c>
      <c r="L32" s="228">
        <f>'[3]2)人力资源成本预算表'!L32+'[4]2)人力资源成本预算表'!L32+'[5]2)人力资源成本预算表'!L32</f>
        <v>0</v>
      </c>
      <c r="M32" s="228">
        <f>'[3]2)人力资源成本预算表'!M32+'[4]2)人力资源成本预算表'!M32+'[5]2)人力资源成本预算表'!M32</f>
        <v>0</v>
      </c>
      <c r="N32" s="228">
        <f>'[3]2)人力资源成本预算表'!N32+'[4]2)人力资源成本预算表'!N32+'[5]2)人力资源成本预算表'!N32</f>
        <v>0</v>
      </c>
      <c r="O32" s="228">
        <f>'[3]2)人力资源成本预算表'!O32+'[4]2)人力资源成本预算表'!O32+'[5]2)人力资源成本预算表'!O32</f>
        <v>0</v>
      </c>
      <c r="P32" s="228">
        <f>'[3]2)人力资源成本预算表'!P32+'[4]2)人力资源成本预算表'!P32+'[5]2)人力资源成本预算表'!P32</f>
        <v>0</v>
      </c>
      <c r="Q32" s="228">
        <f>'[3]2)人力资源成本预算表'!Q32+'[4]2)人力资源成本预算表'!Q32+'[5]2)人力资源成本预算表'!Q32</f>
        <v>0</v>
      </c>
      <c r="R32" s="228">
        <f>'[3]2)人力资源成本预算表'!R32+'[4]2)人力资源成本预算表'!R32+'[5]2)人力资源成本预算表'!R32</f>
        <v>0</v>
      </c>
      <c r="S32" s="228">
        <f>'[3]2)人力资源成本预算表'!S32+'[4]2)人力资源成本预算表'!S32+'[5]2)人力资源成本预算表'!S32</f>
        <v>0</v>
      </c>
      <c r="T32" s="228">
        <f>'[3]2)人力资源成本预算表'!T32+'[4]2)人力资源成本预算表'!T32+'[5]2)人力资源成本预算表'!T32</f>
        <v>0</v>
      </c>
      <c r="U32" s="228">
        <f>'[3]2)人力资源成本预算表'!U32+'[4]2)人力资源成本预算表'!U32+'[5]2)人力资源成本预算表'!U32</f>
        <v>0</v>
      </c>
      <c r="V32" s="228">
        <f>'[3]2)人力资源成本预算表'!V32+'[4]2)人力资源成本预算表'!V32+'[5]2)人力资源成本预算表'!V32</f>
        <v>0</v>
      </c>
      <c r="W32" s="228">
        <f>'[3]2)人力资源成本预算表'!W32+'[4]2)人力资源成本预算表'!W32+'[5]2)人力资源成本预算表'!W32</f>
        <v>0</v>
      </c>
      <c r="X32" s="245" t="e">
        <f t="shared" si="3"/>
        <v>#DIV/0!</v>
      </c>
      <c r="Y32" s="157"/>
    </row>
    <row r="33" spans="1:25" ht="21.75" customHeight="1">
      <c r="A33" s="150" t="s">
        <v>334</v>
      </c>
      <c r="B33" s="151" t="s">
        <v>315</v>
      </c>
      <c r="C33" s="228">
        <f>C34+C41</f>
        <v>4367963.626999999</v>
      </c>
      <c r="D33" s="228">
        <f>D34+D41</f>
        <v>3501689.2600000002</v>
      </c>
      <c r="E33" s="152">
        <f>E34+E41</f>
        <v>0</v>
      </c>
      <c r="F33" s="152"/>
      <c r="G33" s="152">
        <f>G34+G41</f>
        <v>3501689.2600000002</v>
      </c>
      <c r="H33" s="153">
        <f t="shared" si="1"/>
        <v>0.8016754623034779</v>
      </c>
      <c r="I33" s="152"/>
      <c r="J33" s="152">
        <f>J34+J41</f>
        <v>4572200.085624999</v>
      </c>
      <c r="K33" s="152">
        <f aca="true" t="shared" si="23" ref="K33:W33">K34+K41</f>
        <v>3537192.295</v>
      </c>
      <c r="L33" s="152">
        <f t="shared" si="23"/>
        <v>1511400</v>
      </c>
      <c r="M33" s="152">
        <f t="shared" si="23"/>
        <v>0</v>
      </c>
      <c r="N33" s="152">
        <f t="shared" si="23"/>
        <v>348207</v>
      </c>
      <c r="O33" s="152">
        <f t="shared" si="23"/>
        <v>387857.175</v>
      </c>
      <c r="P33" s="152">
        <f t="shared" si="23"/>
        <v>1243402.1199999996</v>
      </c>
      <c r="Q33" s="152">
        <f t="shared" si="23"/>
        <v>46326</v>
      </c>
      <c r="R33" s="152">
        <f t="shared" si="23"/>
        <v>45844</v>
      </c>
      <c r="S33" s="244">
        <f t="shared" si="23"/>
        <v>632006.3099999998</v>
      </c>
      <c r="T33" s="244">
        <f t="shared" si="23"/>
        <v>227469</v>
      </c>
      <c r="U33" s="244">
        <f t="shared" si="23"/>
        <v>60158.2775</v>
      </c>
      <c r="V33" s="244">
        <f t="shared" si="23"/>
        <v>45020.20312499999</v>
      </c>
      <c r="W33" s="152">
        <f t="shared" si="23"/>
        <v>24510</v>
      </c>
      <c r="X33" s="245">
        <f t="shared" si="3"/>
        <v>1.01013883082247</v>
      </c>
      <c r="Y33" s="157"/>
    </row>
    <row r="34" spans="1:25" ht="21.75" customHeight="1">
      <c r="A34" s="150" t="s">
        <v>334</v>
      </c>
      <c r="B34" s="151" t="s">
        <v>325</v>
      </c>
      <c r="C34" s="228">
        <f>SUM(C35:C40)</f>
        <v>4367963.626999999</v>
      </c>
      <c r="D34" s="228">
        <f>SUM(D35:D40)</f>
        <v>3501689.2600000002</v>
      </c>
      <c r="E34" s="152">
        <f>SUM(E35:E40)</f>
        <v>0</v>
      </c>
      <c r="F34" s="152"/>
      <c r="G34" s="152">
        <f>SUM(G35:G40)</f>
        <v>3501689.2600000002</v>
      </c>
      <c r="H34" s="153">
        <f t="shared" si="1"/>
        <v>0.8016754623034779</v>
      </c>
      <c r="I34" s="152"/>
      <c r="J34" s="152">
        <f>SUM(J35:J40)</f>
        <v>4572200.085624999</v>
      </c>
      <c r="K34" s="152">
        <f aca="true" t="shared" si="24" ref="K34:W34">SUM(K35:K40)</f>
        <v>3537192.295</v>
      </c>
      <c r="L34" s="152">
        <f t="shared" si="24"/>
        <v>1511400</v>
      </c>
      <c r="M34" s="152">
        <f t="shared" si="24"/>
        <v>0</v>
      </c>
      <c r="N34" s="152">
        <f t="shared" si="24"/>
        <v>348207</v>
      </c>
      <c r="O34" s="152">
        <f t="shared" si="24"/>
        <v>387857.175</v>
      </c>
      <c r="P34" s="152">
        <f t="shared" si="24"/>
        <v>1243402.1199999996</v>
      </c>
      <c r="Q34" s="152">
        <f t="shared" si="24"/>
        <v>46326</v>
      </c>
      <c r="R34" s="152">
        <f t="shared" si="24"/>
        <v>45844</v>
      </c>
      <c r="S34" s="244">
        <f t="shared" si="24"/>
        <v>632006.3099999998</v>
      </c>
      <c r="T34" s="244">
        <f t="shared" si="24"/>
        <v>227469</v>
      </c>
      <c r="U34" s="244">
        <f t="shared" si="24"/>
        <v>60158.2775</v>
      </c>
      <c r="V34" s="244">
        <f t="shared" si="24"/>
        <v>45020.20312499999</v>
      </c>
      <c r="W34" s="152">
        <f t="shared" si="24"/>
        <v>24510</v>
      </c>
      <c r="X34" s="245">
        <f t="shared" si="3"/>
        <v>1.01013883082247</v>
      </c>
      <c r="Y34" s="157"/>
    </row>
    <row r="35" spans="1:25" ht="21.75" customHeight="1">
      <c r="A35" s="150" t="s">
        <v>334</v>
      </c>
      <c r="B35" s="151" t="s">
        <v>332</v>
      </c>
      <c r="C35" s="228">
        <f>'[3]2)人力资源成本预算表'!C35</f>
        <v>487898.9595</v>
      </c>
      <c r="D35" s="228">
        <f>'[3]2)人力资源成本预算表'!D35</f>
        <v>340586.31</v>
      </c>
      <c r="E35" s="228">
        <f>'[3]2)人力资源成本预算表'!E35</f>
        <v>0</v>
      </c>
      <c r="F35" s="229"/>
      <c r="G35" s="152">
        <f aca="true" t="shared" si="25" ref="G35:G41">D35+E35</f>
        <v>340586.31</v>
      </c>
      <c r="H35" s="153">
        <f t="shared" si="1"/>
        <v>0.6980673013712381</v>
      </c>
      <c r="I35" s="229"/>
      <c r="J35" s="152">
        <f>K35+R35+S35+T35+U35+V35+W35</f>
        <v>483200.06062500004</v>
      </c>
      <c r="K35" s="152">
        <f>SUM(L35:Q35)</f>
        <v>368821.875</v>
      </c>
      <c r="L35" s="228">
        <f>'[3]2)人力资源成本预算表'!L35</f>
        <v>122850</v>
      </c>
      <c r="M35" s="228">
        <f>'[3]2)人力资源成本预算表'!M35</f>
        <v>0</v>
      </c>
      <c r="N35" s="228">
        <f>'[3]2)人力资源成本预算表'!N35</f>
        <v>3036</v>
      </c>
      <c r="O35" s="228">
        <f>'[3]2)人力资源成本预算表'!O35</f>
        <v>73157.17499999999</v>
      </c>
      <c r="P35" s="228">
        <f>'[3]2)人力资源成本预算表'!P35</f>
        <v>169778.69999999998</v>
      </c>
      <c r="Q35" s="228">
        <f>'[3]2)人力资源成本预算表'!Q35</f>
        <v>0</v>
      </c>
      <c r="R35" s="228">
        <f>'[3]2)人力资源成本预算表'!R35</f>
        <v>2400</v>
      </c>
      <c r="S35" s="228">
        <f>'[3]2)人力资源成本预算表'!S35</f>
        <v>51096.42000000001</v>
      </c>
      <c r="T35" s="228">
        <f>'[3]2)人力资源成本预算表'!T35</f>
        <v>23463</v>
      </c>
      <c r="U35" s="228">
        <f>'[3]2)人力资源成本预算表'!U35</f>
        <v>7376.4375</v>
      </c>
      <c r="V35" s="228">
        <f>'[3]2)人力资源成本预算表'!V35</f>
        <v>5532.328125</v>
      </c>
      <c r="W35" s="228">
        <f>'[3]2)人力资源成本预算表'!W35</f>
        <v>24510</v>
      </c>
      <c r="X35" s="245">
        <f t="shared" si="3"/>
        <v>1.082902818378108</v>
      </c>
      <c r="Y35" s="252" t="s">
        <v>335</v>
      </c>
    </row>
    <row r="36" spans="1:25" ht="21.75" customHeight="1">
      <c r="A36" s="150"/>
      <c r="B36" s="151" t="s">
        <v>327</v>
      </c>
      <c r="C36" s="228">
        <f>'[3]2)人力资源成本预算表'!C36+'[4]2)人力资源成本预算表'!C35+'[5]2)人力资源成本预算表'!C35</f>
        <v>954946.1649999999</v>
      </c>
      <c r="D36" s="228">
        <f>'[3]2)人力资源成本预算表'!D36+'[4]2)人力资源成本预算表'!D35+'[5]2)人力资源成本预算表'!D35</f>
        <v>859580.97</v>
      </c>
      <c r="E36" s="228">
        <f>'[3]2)人力资源成本预算表'!E36+'[4]2)人力资源成本预算表'!E35+'[5]2)人力资源成本预算表'!E35</f>
        <v>0</v>
      </c>
      <c r="F36" s="229"/>
      <c r="G36" s="152">
        <f t="shared" si="25"/>
        <v>859580.97</v>
      </c>
      <c r="H36" s="153">
        <f t="shared" si="1"/>
        <v>0.9001355275352093</v>
      </c>
      <c r="I36" s="229"/>
      <c r="J36" s="152">
        <f aca="true" t="shared" si="26" ref="J36:J41">K36+R36+S36+T36+U36+V36+W36</f>
        <v>934753.82</v>
      </c>
      <c r="K36" s="152">
        <f aca="true" t="shared" si="27" ref="K36:K41">SUM(L36:Q36)</f>
        <v>725940</v>
      </c>
      <c r="L36" s="228">
        <f>'[3]2)人力资源成本预算表'!L36+'[4]2)人力资源成本预算表'!L35+'[5]2)人力资源成本预算表'!L35</f>
        <v>354660</v>
      </c>
      <c r="M36" s="228">
        <f>'[3]2)人力资源成本预算表'!M36+'[4]2)人力资源成本预算表'!M35+'[5]2)人力资源成本预算表'!M35</f>
        <v>0</v>
      </c>
      <c r="N36" s="228">
        <f>'[3]2)人力资源成本预算表'!N36+'[4]2)人力资源成本预算表'!N35+'[5]2)人力资源成本预算表'!N35</f>
        <v>68724</v>
      </c>
      <c r="O36" s="228">
        <f>'[3]2)人力资源成本预算表'!O36+'[4]2)人力资源成本预算表'!O35+'[5]2)人力资源成本预算表'!O35</f>
        <v>71700</v>
      </c>
      <c r="P36" s="228">
        <f>'[3]2)人力资源成本预算表'!P36+'[4]2)人力资源成本预算表'!P35+'[5]2)人力资源成本预算表'!P35</f>
        <v>226400</v>
      </c>
      <c r="Q36" s="228">
        <f>'[3]2)人力资源成本预算表'!Q36+'[4]2)人力资源成本预算表'!Q35+'[5]2)人力资源成本预算表'!Q35</f>
        <v>4456</v>
      </c>
      <c r="R36" s="228">
        <f>'[3]2)人力资源成本预算表'!R36+'[4]2)人力资源成本预算表'!R35+'[5]2)人力资源成本预算表'!R35</f>
        <v>528</v>
      </c>
      <c r="S36" s="228">
        <f>'[3]2)人力资源成本预算表'!S36+'[4]2)人力资源成本预算表'!S35+'[5]2)人力资源成本预算表'!S35</f>
        <v>124277.06999999999</v>
      </c>
      <c r="T36" s="228">
        <f>'[3]2)人力资源成本预算表'!T36+'[4]2)人力资源成本预算表'!T35+'[5]2)人力资源成本预算表'!T35</f>
        <v>58926</v>
      </c>
      <c r="U36" s="228">
        <f>'[3]2)人力资源成本预算表'!U36+'[4]2)人力资源成本预算表'!U35+'[5]2)人力资源成本预算表'!U35</f>
        <v>14333</v>
      </c>
      <c r="V36" s="228">
        <f>'[3]2)人力资源成本预算表'!V36+'[4]2)人力资源成本预算表'!V35+'[5]2)人力资源成本预算表'!V35</f>
        <v>10749.75</v>
      </c>
      <c r="W36" s="228">
        <f>'[3]2)人力资源成本预算表'!W36+'[4]2)人力资源成本预算表'!W35+'[5]2)人力资源成本预算表'!W35</f>
        <v>0</v>
      </c>
      <c r="X36" s="245">
        <f t="shared" si="3"/>
        <v>0.8445277703158087</v>
      </c>
      <c r="Y36" s="157"/>
    </row>
    <row r="37" spans="1:25" ht="21.75" customHeight="1">
      <c r="A37" s="150" t="s">
        <v>334</v>
      </c>
      <c r="B37" s="151" t="s">
        <v>328</v>
      </c>
      <c r="C37" s="228">
        <f>'[3]2)人力资源成本预算表'!C37+'[4]2)人力资源成本预算表'!C36+'[4]2)人力资源成本预算表'!C37+'[5]2)人力资源成本预算表'!C36+'[5]2)人力资源成本预算表'!C37</f>
        <v>2305482.8125</v>
      </c>
      <c r="D37" s="228">
        <f>'[3]2)人力资源成本预算表'!D37+'[4]2)人力资源成本预算表'!D36+'[4]2)人力资源成本预算表'!D37+'[5]2)人力资源成本预算表'!D36+'[5]2)人力资源成本预算表'!D37</f>
        <v>1893904.84</v>
      </c>
      <c r="E37" s="228">
        <f>'[3]2)人力资源成本预算表'!E37+'[4]2)人力资源成本预算表'!E36+'[4]2)人力资源成本预算表'!E37+'[5]2)人力资源成本预算表'!E36+'[5]2)人力资源成本预算表'!E37</f>
        <v>0</v>
      </c>
      <c r="F37" s="229"/>
      <c r="G37" s="152">
        <f t="shared" si="25"/>
        <v>1893904.84</v>
      </c>
      <c r="H37" s="153">
        <f t="shared" si="1"/>
        <v>0.8214786203269516</v>
      </c>
      <c r="I37" s="229"/>
      <c r="J37" s="152">
        <f t="shared" si="26"/>
        <v>2285358.52</v>
      </c>
      <c r="K37" s="152">
        <f t="shared" si="27"/>
        <v>1709165</v>
      </c>
      <c r="L37" s="228">
        <f>'[3]2)人力资源成本预算表'!L37+'[4]2)人力资源成本预算表'!L36+'[4]2)人力资源成本预算表'!L37+'[5]2)人力资源成本预算表'!L36+'[5]2)人力资源成本预算表'!L37</f>
        <v>829590</v>
      </c>
      <c r="M37" s="228">
        <f>'[3]2)人力资源成本预算表'!M37+'[4]2)人力资源成本预算表'!M36+'[4]2)人力资源成本预算表'!M37+'[5]2)人力资源成本预算表'!M36+'[5]2)人力资源成本预算表'!M37</f>
        <v>0</v>
      </c>
      <c r="N37" s="228">
        <f>'[3]2)人力资源成本预算表'!N37+'[4]2)人力资源成本预算表'!N36+'[4]2)人力资源成本预算表'!N37+'[5]2)人力资源成本预算表'!N36+'[5]2)人力资源成本预算表'!N37</f>
        <v>211635</v>
      </c>
      <c r="O37" s="228">
        <f>'[3]2)人力资源成本预算表'!O37+'[4]2)人力资源成本预算表'!O36+'[4]2)人力资源成本预算表'!O37+'[5]2)人力资源成本预算表'!O36+'[5]2)人力资源成本预算表'!O37</f>
        <v>243000</v>
      </c>
      <c r="P37" s="228">
        <f>'[3]2)人力资源成本预算表'!P37+'[4]2)人力资源成本预算表'!P36+'[4]2)人力资源成本预算表'!P37+'[5]2)人力资源成本预算表'!P36+'[5]2)人力资源成本预算表'!P37</f>
        <v>396510</v>
      </c>
      <c r="Q37" s="228">
        <f>'[3]2)人力资源成本预算表'!Q37+'[4]2)人力资源成本预算表'!Q36+'[4]2)人力资源成本预算表'!Q37+'[5]2)人力资源成本预算表'!Q36+'[5]2)人力资源成本预算表'!Q37</f>
        <v>28430</v>
      </c>
      <c r="R37" s="228">
        <f>'[3]2)人力资源成本预算表'!R37+'[4]2)人力资源成本预算表'!R36+'[4]2)人力资源成本预算表'!R37+'[5]2)人力资源成本预算表'!R36+'[5]2)人力资源成本预算表'!R37</f>
        <v>42916</v>
      </c>
      <c r="S37" s="228">
        <f>'[3]2)人力资源成本预算表'!S37+'[4]2)人力资源成本预算表'!S36+'[4]2)人力资源成本预算表'!S37+'[5]2)人力资源成本预算表'!S36+'[5]2)人力资源成本预算表'!S37</f>
        <v>331941.1199999999</v>
      </c>
      <c r="T37" s="228">
        <f>'[3]2)人力资源成本预算表'!T37+'[4]2)人力资源成本预算表'!T36+'[4]2)人力资源成本预算表'!T37+'[5]2)人力资源成本预算表'!T36+'[5]2)人力资源成本预算表'!T37</f>
        <v>143592</v>
      </c>
      <c r="U37" s="228">
        <f>'[3]2)人力资源成本预算表'!U37+'[4]2)人力资源成本预算表'!U36+'[4]2)人力资源成本预算表'!U37+'[5]2)人力资源成本预算表'!U36+'[5]2)人力资源成本预算表'!U37</f>
        <v>32996.8</v>
      </c>
      <c r="V37" s="228">
        <f>'[3]2)人力资源成本预算表'!V37+'[4]2)人力资源成本预算表'!V36+'[4]2)人力资源成本预算表'!V37+'[5]2)人力资源成本预算表'!V36+'[5]2)人力资源成本预算表'!V37</f>
        <v>24747.59999999999</v>
      </c>
      <c r="W37" s="228">
        <f>'[3]2)人力资源成本预算表'!W37+'[4]2)人力资源成本预算表'!W36+'[4]2)人力资源成本预算表'!W37+'[5]2)人力资源成本预算表'!W36+'[5]2)人力资源成本预算表'!W37</f>
        <v>0</v>
      </c>
      <c r="X37" s="245">
        <f t="shared" si="3"/>
        <v>0.9024555848328684</v>
      </c>
      <c r="Y37" s="157"/>
    </row>
    <row r="38" spans="1:25" ht="21.75" customHeight="1">
      <c r="A38" s="150" t="s">
        <v>334</v>
      </c>
      <c r="B38" s="151" t="s">
        <v>329</v>
      </c>
      <c r="C38" s="228">
        <f>'[3]2)人力资源成本预算表'!C38+'[4]2)人力资源成本预算表'!C38+'[5]2)人力资源成本预算表'!C38</f>
        <v>495072.23</v>
      </c>
      <c r="D38" s="228">
        <f>'[3]2)人力资源成本预算表'!D38+'[4]2)人力资源成本预算表'!D38+'[5]2)人力资源成本预算表'!D38</f>
        <v>401425.14</v>
      </c>
      <c r="E38" s="228">
        <f>'[3]2)人力资源成本预算表'!E38+'[4]2)人力资源成本预算表'!E38+'[5]2)人力资源成本预算表'!E38</f>
        <v>0</v>
      </c>
      <c r="F38" s="152"/>
      <c r="G38" s="152">
        <f t="shared" si="25"/>
        <v>401425.14</v>
      </c>
      <c r="H38" s="153">
        <f t="shared" si="1"/>
        <v>0.8108415614424587</v>
      </c>
      <c r="I38" s="152"/>
      <c r="J38" s="152">
        <f t="shared" si="26"/>
        <v>434029.52499999997</v>
      </c>
      <c r="K38" s="152">
        <f t="shared" si="27"/>
        <v>299485</v>
      </c>
      <c r="L38" s="228">
        <f>'[3]2)人力资源成本预算表'!L38+'[4]2)人力资源成本预算表'!L38+'[5]2)人力资源成本预算表'!L38</f>
        <v>199800</v>
      </c>
      <c r="M38" s="228">
        <f>'[3]2)人力资源成本预算表'!M38+'[4]2)人力资源成本预算表'!M38+'[5]2)人力资源成本预算表'!M38</f>
        <v>0</v>
      </c>
      <c r="N38" s="228">
        <f>'[3]2)人力资源成本预算表'!N38+'[4]2)人力资源成本预算表'!N38+'[5]2)人力资源成本预算表'!N38</f>
        <v>63120</v>
      </c>
      <c r="O38" s="228">
        <f>'[3]2)人力资源成本预算表'!O38+'[4]2)人力资源成本预算表'!O38+'[5]2)人力资源成本预算表'!O38</f>
        <v>0</v>
      </c>
      <c r="P38" s="228">
        <f>'[3]2)人力资源成本预算表'!P38+'[4]2)人力资源成本预算表'!P38+'[5]2)人力资源成本预算表'!P38</f>
        <v>23125</v>
      </c>
      <c r="Q38" s="228">
        <f>'[3]2)人力资源成本预算表'!Q38+'[4]2)人力资源成本预算表'!Q38+'[5]2)人力资源成本预算表'!Q38</f>
        <v>13440</v>
      </c>
      <c r="R38" s="228">
        <f>'[3]2)人力资源成本预算表'!R38+'[4]2)人力资源成本预算表'!R38+'[5]2)人力资源成本预算表'!R38</f>
        <v>0</v>
      </c>
      <c r="S38" s="228">
        <f>'[3]2)人力资源成本预算表'!S38+'[4]2)人力资源成本预算表'!S38+'[5]2)人力资源成本预算表'!S38</f>
        <v>124691.69999999995</v>
      </c>
      <c r="T38" s="228">
        <f>'[3]2)人力资源成本预算表'!T38+'[4]2)人力资源成本预算表'!T38+'[5]2)人力资源成本预算表'!T38</f>
        <v>1488</v>
      </c>
      <c r="U38" s="228">
        <f>'[3]2)人力资源成本预算表'!U38+'[4]2)人力资源成本预算表'!U38+'[5]2)人力资源成本预算表'!U38</f>
        <v>4779.899999999998</v>
      </c>
      <c r="V38" s="228">
        <f>'[3]2)人力资源成本预算表'!V38+'[4]2)人力资源成本预算表'!V38+'[5]2)人力资源成本预算表'!V38</f>
        <v>3584.9249999999997</v>
      </c>
      <c r="W38" s="228">
        <f>'[3]2)人力资源成本预算表'!W38+'[4]2)人力资源成本预算表'!W38+'[5]2)人力资源成本预算表'!W38</f>
        <v>0</v>
      </c>
      <c r="X38" s="245">
        <f t="shared" si="3"/>
        <v>0.7460544200096685</v>
      </c>
      <c r="Y38" s="157"/>
    </row>
    <row r="39" spans="1:25" ht="21.75" customHeight="1">
      <c r="A39" s="150" t="s">
        <v>334</v>
      </c>
      <c r="B39" s="151" t="s">
        <v>330</v>
      </c>
      <c r="C39" s="228">
        <f>'[3]2)人力资源成本预算表'!C39+'[4]2)人力资源成本预算表'!C39+'[5]2)人力资源成本预算表'!C39</f>
        <v>36352.64</v>
      </c>
      <c r="D39" s="228">
        <f>'[3]2)人力资源成本预算表'!D39+'[4]2)人力资源成本预算表'!D39+'[5]2)人力资源成本预算表'!D39</f>
        <v>6192</v>
      </c>
      <c r="E39" s="228">
        <f>'[3]2)人力资源成本预算表'!E39+'[4]2)人力资源成本预算表'!E39+'[5]2)人力资源成本预算表'!E39</f>
        <v>0</v>
      </c>
      <c r="F39" s="229"/>
      <c r="G39" s="152">
        <f t="shared" si="25"/>
        <v>6192</v>
      </c>
      <c r="H39" s="153">
        <f t="shared" si="1"/>
        <v>0.17033150824809423</v>
      </c>
      <c r="I39" s="229"/>
      <c r="J39" s="152">
        <f t="shared" si="26"/>
        <v>7073.34</v>
      </c>
      <c r="K39" s="152">
        <f t="shared" si="27"/>
        <v>6942</v>
      </c>
      <c r="L39" s="228">
        <f>'[3]2)人力资源成本预算表'!L39+'[4]2)人力资源成本预算表'!L39+'[5]2)人力资源成本预算表'!L39</f>
        <v>4500</v>
      </c>
      <c r="M39" s="228">
        <f>'[3]2)人力资源成本预算表'!M39+'[4]2)人力资源成本预算表'!M39+'[5]2)人力资源成本预算表'!M39</f>
        <v>0</v>
      </c>
      <c r="N39" s="228">
        <f>'[3]2)人力资源成本预算表'!N39+'[4]2)人力资源成本预算表'!N39+'[5]2)人力资源成本预算表'!N39</f>
        <v>1692</v>
      </c>
      <c r="O39" s="228">
        <f>'[3]2)人力资源成本预算表'!O39+'[4]2)人力资源成本预算表'!O39+'[5]2)人力资源成本预算表'!O39</f>
        <v>0</v>
      </c>
      <c r="P39" s="228">
        <f>'[3]2)人力资源成本预算表'!P39+'[4]2)人力资源成本预算表'!P39+'[5]2)人力资源成本预算表'!P39</f>
        <v>750</v>
      </c>
      <c r="Q39" s="228">
        <f>'[3]2)人力资源成本预算表'!Q39+'[4]2)人力资源成本预算表'!Q39+'[5]2)人力资源成本预算表'!Q39</f>
        <v>0</v>
      </c>
      <c r="R39" s="228">
        <f>'[3]2)人力资源成本预算表'!R39+'[4]2)人力资源成本预算表'!R39+'[5]2)人力资源成本预算表'!R39</f>
        <v>0</v>
      </c>
      <c r="S39" s="228">
        <f>'[3]2)人力资源成本预算表'!S39+'[4]2)人力资源成本预算表'!S39+'[5]2)人力资源成本预算表'!S39</f>
        <v>0</v>
      </c>
      <c r="T39" s="228">
        <f>'[3]2)人力资源成本预算表'!T39+'[4]2)人力资源成本预算表'!T39+'[5]2)人力资源成本预算表'!T39</f>
        <v>0</v>
      </c>
      <c r="U39" s="228">
        <f>'[3]2)人力资源成本预算表'!U39+'[4]2)人力资源成本预算表'!U39+'[5]2)人力资源成本预算表'!U39</f>
        <v>131.34</v>
      </c>
      <c r="V39" s="228">
        <f>'[3]2)人力资源成本预算表'!V39+'[4]2)人力资源成本预算表'!V39+'[5]2)人力资源成本预算表'!V39</f>
        <v>0</v>
      </c>
      <c r="W39" s="228">
        <f>'[3]2)人力资源成本预算表'!W39+'[4]2)人力资源成本预算表'!W39+'[5]2)人力资源成本预算表'!W39</f>
        <v>0</v>
      </c>
      <c r="X39" s="245">
        <f t="shared" si="3"/>
        <v>1.121124031007752</v>
      </c>
      <c r="Y39" s="157"/>
    </row>
    <row r="40" spans="1:25" ht="21.75" customHeight="1">
      <c r="A40" s="150" t="s">
        <v>334</v>
      </c>
      <c r="B40" s="151" t="s">
        <v>322</v>
      </c>
      <c r="C40" s="228">
        <f>'[3]2)人力资源成本预算表'!C40+'[4]2)人力资源成本预算表'!C40+'[5]2)人力资源成本预算表'!C40</f>
        <v>88210.82</v>
      </c>
      <c r="D40" s="228">
        <f>'[3]2)人力资源成本预算表'!D40+'[4]2)人力资源成本预算表'!D40+'[5]2)人力资源成本预算表'!D40</f>
        <v>0</v>
      </c>
      <c r="E40" s="228">
        <f>'[3]2)人力资源成本预算表'!E40+'[4]2)人力资源成本预算表'!E40+'[5]2)人力资源成本预算表'!E40</f>
        <v>0</v>
      </c>
      <c r="F40" s="229"/>
      <c r="G40" s="152">
        <f t="shared" si="25"/>
        <v>0</v>
      </c>
      <c r="H40" s="153">
        <f t="shared" si="1"/>
        <v>0</v>
      </c>
      <c r="I40" s="229"/>
      <c r="J40" s="152">
        <f t="shared" si="26"/>
        <v>427784.8199999998</v>
      </c>
      <c r="K40" s="152">
        <f t="shared" si="27"/>
        <v>426838.4199999998</v>
      </c>
      <c r="L40" s="228">
        <f>'[3]2)人力资源成本预算表'!L40+'[4]2)人力资源成本预算表'!L40+'[5]2)人力资源成本预算表'!L40</f>
        <v>0</v>
      </c>
      <c r="M40" s="228">
        <f>'[3]2)人力资源成本预算表'!M40+'[4]2)人力资源成本预算表'!M40+'[5]2)人力资源成本预算表'!M40</f>
        <v>0</v>
      </c>
      <c r="N40" s="228">
        <f>'[3]2)人力资源成本预算表'!N40+'[4]2)人力资源成本预算表'!N40+'[5]2)人力资源成本预算表'!N40</f>
        <v>0</v>
      </c>
      <c r="O40" s="228">
        <f>'[3]2)人力资源成本预算表'!O40+'[4]2)人力资源成本预算表'!O40+'[5]2)人力资源成本预算表'!O40</f>
        <v>0</v>
      </c>
      <c r="P40" s="228">
        <f>'[3]2)人力资源成本预算表'!P40+'[4]2)人力资源成本预算表'!P40+'[5]2)人力资源成本预算表'!P40</f>
        <v>426838.4199999998</v>
      </c>
      <c r="Q40" s="228">
        <f>'[3]2)人力资源成本预算表'!Q40+'[4]2)人力资源成本预算表'!Q40+'[5]2)人力资源成本预算表'!Q40</f>
        <v>0</v>
      </c>
      <c r="R40" s="228">
        <f>'[3]2)人力资源成本预算表'!R40+'[4]2)人力资源成本预算表'!R40+'[5]2)人力资源成本预算表'!R40</f>
        <v>0</v>
      </c>
      <c r="S40" s="228">
        <f>'[3]2)人力资源成本预算表'!S40+'[4]2)人力资源成本预算表'!S40+'[5]2)人力资源成本预算表'!S40</f>
        <v>0</v>
      </c>
      <c r="T40" s="228">
        <f>'[3]2)人力资源成本预算表'!T40+'[4]2)人力资源成本预算表'!T40+'[5]2)人力资源成本预算表'!T40</f>
        <v>0</v>
      </c>
      <c r="U40" s="228">
        <f>'[3]2)人力资源成本预算表'!U40+'[4]2)人力资源成本预算表'!U40+'[5]2)人力资源成本预算表'!U40</f>
        <v>540.8</v>
      </c>
      <c r="V40" s="228">
        <f>'[3]2)人力资源成本预算表'!V40+'[4]2)人力资源成本预算表'!V40+'[5]2)人力资源成本预算表'!V40</f>
        <v>405.59999999999997</v>
      </c>
      <c r="W40" s="228">
        <f>'[3]2)人力资源成本预算表'!W40+'[4]2)人力资源成本预算表'!W40+'[5]2)人力资源成本预算表'!W40</f>
        <v>0</v>
      </c>
      <c r="X40" s="245" t="e">
        <f t="shared" si="3"/>
        <v>#DIV/0!</v>
      </c>
      <c r="Y40" s="157"/>
    </row>
    <row r="41" spans="1:25" ht="21.75" customHeight="1">
      <c r="A41" s="150" t="s">
        <v>334</v>
      </c>
      <c r="B41" s="151" t="s">
        <v>323</v>
      </c>
      <c r="C41" s="228">
        <f>'[3]2)人力资源成本预算表'!C41+'[4]2)人力资源成本预算表'!C41+'[5]2)人力资源成本预算表'!C41</f>
        <v>0</v>
      </c>
      <c r="D41" s="228">
        <f>'[3]2)人力资源成本预算表'!D41+'[4]2)人力资源成本预算表'!D41+'[5]2)人力资源成本预算表'!D41</f>
        <v>0</v>
      </c>
      <c r="E41" s="228">
        <f>'[3]2)人力资源成本预算表'!E41+'[4]2)人力资源成本预算表'!E41+'[5]2)人力资源成本预算表'!E41</f>
        <v>0</v>
      </c>
      <c r="F41" s="229"/>
      <c r="G41" s="152">
        <f t="shared" si="25"/>
        <v>0</v>
      </c>
      <c r="H41" s="153" t="e">
        <f t="shared" si="1"/>
        <v>#DIV/0!</v>
      </c>
      <c r="I41" s="229"/>
      <c r="J41" s="152">
        <f t="shared" si="26"/>
        <v>0</v>
      </c>
      <c r="K41" s="152">
        <f t="shared" si="27"/>
        <v>0</v>
      </c>
      <c r="L41" s="228">
        <f>'[3]2)人力资源成本预算表'!L41+'[4]2)人力资源成本预算表'!L41+'[5]2)人力资源成本预算表'!L41</f>
        <v>0</v>
      </c>
      <c r="M41" s="228">
        <f>'[3]2)人力资源成本预算表'!M41+'[4]2)人力资源成本预算表'!M41+'[5]2)人力资源成本预算表'!M41</f>
        <v>0</v>
      </c>
      <c r="N41" s="228">
        <f>'[3]2)人力资源成本预算表'!N41+'[4]2)人力资源成本预算表'!N41+'[5]2)人力资源成本预算表'!N41</f>
        <v>0</v>
      </c>
      <c r="O41" s="228">
        <f>'[3]2)人力资源成本预算表'!O41+'[4]2)人力资源成本预算表'!O41+'[5]2)人力资源成本预算表'!O41</f>
        <v>0</v>
      </c>
      <c r="P41" s="228">
        <f>'[3]2)人力资源成本预算表'!P41+'[4]2)人力资源成本预算表'!P41+'[5]2)人力资源成本预算表'!P41</f>
        <v>0</v>
      </c>
      <c r="Q41" s="228">
        <f>'[3]2)人力资源成本预算表'!Q41+'[4]2)人力资源成本预算表'!Q41+'[5]2)人力资源成本预算表'!Q41</f>
        <v>0</v>
      </c>
      <c r="R41" s="228">
        <f>'[3]2)人力资源成本预算表'!R41+'[4]2)人力资源成本预算表'!R41+'[5]2)人力资源成本预算表'!R41</f>
        <v>0</v>
      </c>
      <c r="S41" s="228">
        <f>'[3]2)人力资源成本预算表'!S41+'[4]2)人力资源成本预算表'!S41+'[5]2)人力资源成本预算表'!S41</f>
        <v>0</v>
      </c>
      <c r="T41" s="228">
        <f>'[3]2)人力资源成本预算表'!T41+'[4]2)人力资源成本预算表'!T41+'[5]2)人力资源成本预算表'!T41</f>
        <v>0</v>
      </c>
      <c r="U41" s="228">
        <f>'[3]2)人力资源成本预算表'!U41+'[4]2)人力资源成本预算表'!U41+'[5]2)人力资源成本预算表'!U41</f>
        <v>0</v>
      </c>
      <c r="V41" s="228">
        <f>'[3]2)人力资源成本预算表'!V41+'[4]2)人力资源成本预算表'!V41+'[5]2)人力资源成本预算表'!V41</f>
        <v>0</v>
      </c>
      <c r="W41" s="228">
        <f>'[3]2)人力资源成本预算表'!W41+'[4]2)人力资源成本预算表'!W41+'[5]2)人力资源成本预算表'!W41</f>
        <v>0</v>
      </c>
      <c r="X41" s="245" t="e">
        <f t="shared" si="3"/>
        <v>#DIV/0!</v>
      </c>
      <c r="Y41" s="157"/>
    </row>
    <row r="42" spans="1:25" ht="21.75" customHeight="1">
      <c r="A42" s="150" t="s">
        <v>336</v>
      </c>
      <c r="B42" s="151" t="s">
        <v>315</v>
      </c>
      <c r="C42" s="228">
        <f>C43+C50</f>
        <v>4625441.892</v>
      </c>
      <c r="D42" s="228">
        <f>D43+D50</f>
        <v>0</v>
      </c>
      <c r="E42" s="152">
        <f>E43+E50</f>
        <v>3932661.3099999996</v>
      </c>
      <c r="F42" s="152"/>
      <c r="G42" s="152">
        <f>G43+G50</f>
        <v>3932661.3099999996</v>
      </c>
      <c r="H42" s="153">
        <f t="shared" si="1"/>
        <v>0.8502239141306241</v>
      </c>
      <c r="I42" s="152"/>
      <c r="J42" s="152">
        <f>J43+J50</f>
        <v>4501169.985625</v>
      </c>
      <c r="K42" s="152">
        <f>K43+K50</f>
        <v>3457952.295</v>
      </c>
      <c r="L42" s="194">
        <f>L43+L50</f>
        <v>1511400</v>
      </c>
      <c r="M42" s="194">
        <f aca="true" t="shared" si="28" ref="L42:W42">M43+M50</f>
        <v>0</v>
      </c>
      <c r="N42" s="194">
        <f t="shared" si="28"/>
        <v>264207</v>
      </c>
      <c r="O42" s="194">
        <f t="shared" si="28"/>
        <v>387857.175</v>
      </c>
      <c r="P42" s="194">
        <f t="shared" si="28"/>
        <v>1243402.1199999996</v>
      </c>
      <c r="Q42" s="152">
        <f t="shared" si="28"/>
        <v>51086</v>
      </c>
      <c r="R42" s="152">
        <f t="shared" si="28"/>
        <v>53944</v>
      </c>
      <c r="S42" s="152">
        <f t="shared" si="28"/>
        <v>632006.3099999998</v>
      </c>
      <c r="T42" s="152">
        <f t="shared" si="28"/>
        <v>227469</v>
      </c>
      <c r="U42" s="152">
        <f t="shared" si="28"/>
        <v>60221.0775</v>
      </c>
      <c r="V42" s="152">
        <f t="shared" si="28"/>
        <v>45067.30312499999</v>
      </c>
      <c r="W42" s="152">
        <f t="shared" si="28"/>
        <v>24510</v>
      </c>
      <c r="X42" s="245">
        <f t="shared" si="3"/>
        <v>0.8792906437701853</v>
      </c>
      <c r="Y42" s="157"/>
    </row>
    <row r="43" spans="1:25" ht="21.75" customHeight="1">
      <c r="A43" s="150" t="s">
        <v>336</v>
      </c>
      <c r="B43" s="151" t="s">
        <v>337</v>
      </c>
      <c r="C43" s="228">
        <f>SUM(C44:C49)</f>
        <v>4625441.892</v>
      </c>
      <c r="D43" s="228">
        <f>SUM(D44:D49)</f>
        <v>0</v>
      </c>
      <c r="E43" s="152">
        <f>SUM(E44:E49)</f>
        <v>3932661.3099999996</v>
      </c>
      <c r="F43" s="152"/>
      <c r="G43" s="152">
        <f>SUM(G44:G49)</f>
        <v>3932661.3099999996</v>
      </c>
      <c r="H43" s="153">
        <f t="shared" si="1"/>
        <v>0.8502239141306241</v>
      </c>
      <c r="I43" s="152"/>
      <c r="J43" s="152">
        <f>SUM(J44:J49)</f>
        <v>4501169.985625</v>
      </c>
      <c r="K43" s="152">
        <f aca="true" t="shared" si="29" ref="K43:W43">SUM(K44:K49)</f>
        <v>3457952.295</v>
      </c>
      <c r="L43" s="194">
        <f t="shared" si="29"/>
        <v>1511400</v>
      </c>
      <c r="M43" s="194">
        <f t="shared" si="29"/>
        <v>0</v>
      </c>
      <c r="N43" s="194">
        <f t="shared" si="29"/>
        <v>264207</v>
      </c>
      <c r="O43" s="240">
        <f t="shared" si="29"/>
        <v>387857.175</v>
      </c>
      <c r="P43" s="240">
        <f t="shared" si="29"/>
        <v>1243402.1199999996</v>
      </c>
      <c r="Q43" s="246">
        <f t="shared" si="29"/>
        <v>51086</v>
      </c>
      <c r="R43" s="152">
        <f t="shared" si="29"/>
        <v>53944</v>
      </c>
      <c r="S43" s="152">
        <f t="shared" si="29"/>
        <v>632006.3099999998</v>
      </c>
      <c r="T43" s="152">
        <f t="shared" si="29"/>
        <v>227469</v>
      </c>
      <c r="U43" s="152">
        <f t="shared" si="29"/>
        <v>60221.0775</v>
      </c>
      <c r="V43" s="152">
        <f t="shared" si="29"/>
        <v>45067.30312499999</v>
      </c>
      <c r="W43" s="152">
        <f t="shared" si="29"/>
        <v>24510</v>
      </c>
      <c r="X43" s="245">
        <f t="shared" si="3"/>
        <v>0.8792906437701853</v>
      </c>
      <c r="Y43" s="157"/>
    </row>
    <row r="44" spans="1:25" ht="21.75" customHeight="1">
      <c r="A44" s="150" t="s">
        <v>336</v>
      </c>
      <c r="B44" s="151" t="s">
        <v>332</v>
      </c>
      <c r="C44" s="228">
        <f>'[3]2)人力资源成本预算表'!C44</f>
        <v>486398.9595</v>
      </c>
      <c r="D44" s="228">
        <f>'[3]2)人力资源成本预算表'!D44</f>
        <v>0</v>
      </c>
      <c r="E44" s="228">
        <f>'[3]2)人力资源成本预算表'!E44</f>
        <v>314522.52</v>
      </c>
      <c r="F44" s="229"/>
      <c r="G44" s="152">
        <f aca="true" t="shared" si="30" ref="G44:G50">D44+E44</f>
        <v>314522.52</v>
      </c>
      <c r="H44" s="153">
        <f t="shared" si="1"/>
        <v>0.6466348536668693</v>
      </c>
      <c r="I44" s="229"/>
      <c r="J44" s="152">
        <f>K44+R44+S44+T44+U44+V44+W44</f>
        <v>480800.06062500004</v>
      </c>
      <c r="K44" s="152">
        <f>SUM(L44:Q44)</f>
        <v>368821.875</v>
      </c>
      <c r="L44" s="228">
        <f>'[3]2)人力资源成本预算表'!L44</f>
        <v>122850</v>
      </c>
      <c r="M44" s="228">
        <f>'[3]2)人力资源成本预算表'!M44</f>
        <v>0</v>
      </c>
      <c r="N44" s="228">
        <f>'[3]2)人力资源成本预算表'!N44</f>
        <v>3036</v>
      </c>
      <c r="O44" s="228">
        <f>'[3]2)人力资源成本预算表'!O44</f>
        <v>73157.17499999999</v>
      </c>
      <c r="P44" s="228">
        <f>'[3]2)人力资源成本预算表'!P44</f>
        <v>169778.69999999998</v>
      </c>
      <c r="Q44" s="228">
        <f>'[3]2)人力资源成本预算表'!Q44</f>
        <v>0</v>
      </c>
      <c r="R44" s="228">
        <f>'[3]2)人力资源成本预算表'!R44</f>
        <v>0</v>
      </c>
      <c r="S44" s="228">
        <f>'[3]2)人力资源成本预算表'!S44</f>
        <v>51096.42000000001</v>
      </c>
      <c r="T44" s="228">
        <f>'[3]2)人力资源成本预算表'!T44</f>
        <v>23463</v>
      </c>
      <c r="U44" s="228">
        <f>'[3]2)人力资源成本预算表'!U44</f>
        <v>7376.4375</v>
      </c>
      <c r="V44" s="228">
        <f>'[3]2)人力资源成本预算表'!V44</f>
        <v>5532.328125</v>
      </c>
      <c r="W44" s="228">
        <f>'[3]2)人力资源成本预算表'!W44</f>
        <v>24510</v>
      </c>
      <c r="X44" s="245">
        <f t="shared" si="3"/>
        <v>1.1726405950200323</v>
      </c>
      <c r="Y44" s="157"/>
    </row>
    <row r="45" spans="1:25" ht="21.75" customHeight="1">
      <c r="A45" s="150"/>
      <c r="B45" s="151" t="s">
        <v>338</v>
      </c>
      <c r="C45" s="228">
        <f>'[3]2)人力资源成本预算表'!C45+'[4]2)人力资源成本预算表'!C44+'[5]2)人力资源成本预算表'!C43</f>
        <v>1218865.25</v>
      </c>
      <c r="D45" s="228">
        <f>'[3]2)人力资源成本预算表'!D45+'[4]2)人力资源成本预算表'!D44+'[5]2)人力资源成本预算表'!D43</f>
        <v>0</v>
      </c>
      <c r="E45" s="228">
        <f>'[3]2)人力资源成本预算表'!E45+'[4]2)人力资源成本预算表'!E44+'[5]2)人力资源成本预算表'!E43</f>
        <v>1215615.94</v>
      </c>
      <c r="F45" s="229"/>
      <c r="G45" s="152">
        <f t="shared" si="30"/>
        <v>1215615.94</v>
      </c>
      <c r="H45" s="153">
        <f t="shared" si="1"/>
        <v>0.9973341515807428</v>
      </c>
      <c r="I45" s="229"/>
      <c r="J45" s="152">
        <f aca="true" t="shared" si="31" ref="J45:J50">K45+R45+S45+T45+U45+V45+W45</f>
        <v>923578.8999999999</v>
      </c>
      <c r="K45" s="152">
        <f aca="true" t="shared" si="32" ref="K45:K50">SUM(L45:Q45)</f>
        <v>714748</v>
      </c>
      <c r="L45" s="228">
        <f>'[3]2)人力资源成本预算表'!L45+'[4]2)人力资源成本预算表'!L44+'[5]2)人力资源成本预算表'!L44</f>
        <v>354660</v>
      </c>
      <c r="M45" s="228">
        <f>'[3]2)人力资源成本预算表'!M45+'[4]2)人力资源成本预算表'!M44+'[5]2)人力资源成本预算表'!M44</f>
        <v>0</v>
      </c>
      <c r="N45" s="228">
        <f>'[3]2)人力资源成本预算表'!N45+'[4]2)人力资源成本预算表'!N44+'[5]2)人力资源成本预算表'!N44</f>
        <v>55524</v>
      </c>
      <c r="O45" s="228">
        <f>'[3]2)人力资源成本预算表'!O45+'[4]2)人力资源成本预算表'!O44+'[5]2)人力资源成本预算表'!O44</f>
        <v>71700</v>
      </c>
      <c r="P45" s="228">
        <f>'[3]2)人力资源成本预算表'!P45+'[4]2)人力资源成本预算表'!P44+'[5]2)人力资源成本预算表'!P44</f>
        <v>226400</v>
      </c>
      <c r="Q45" s="228">
        <f>'[3]2)人力资源成本预算表'!Q45+'[4]2)人力资源成本预算表'!Q44+'[5]2)人力资源成本预算表'!Q44</f>
        <v>6464</v>
      </c>
      <c r="R45" s="228">
        <f>'[3]2)人力资源成本预算表'!R45+'[4]2)人力资源成本预算表'!R44+'[5]2)人力资源成本预算表'!R44</f>
        <v>528</v>
      </c>
      <c r="S45" s="228">
        <f>'[3]2)人力资源成本预算表'!S45+'[4]2)人力资源成本预算表'!S44+'[5]2)人力资源成本预算表'!S44</f>
        <v>124277.06999999999</v>
      </c>
      <c r="T45" s="228">
        <f>'[3]2)人力资源成本预算表'!T45+'[4]2)人力资源成本预算表'!T44+'[5]2)人力资源成本预算表'!T44</f>
        <v>58926</v>
      </c>
      <c r="U45" s="228">
        <f>'[3]2)人力资源成本预算表'!U45+'[4]2)人力资源成本预算表'!U44+'[5]2)人力资源成本预算表'!U44</f>
        <v>14342.760000000002</v>
      </c>
      <c r="V45" s="228">
        <f>'[3]2)人力资源成本预算表'!V45+'[4]2)人力资源成本预算表'!V44+'[5]2)人力资源成本预算表'!V44</f>
        <v>10757.07</v>
      </c>
      <c r="W45" s="228">
        <f>'[3]2)人力资源成本预算表'!W45+'[4]2)人力资源成本预算表'!W44+'[5]2)人力资源成本预算表'!W44</f>
        <v>0</v>
      </c>
      <c r="X45" s="245">
        <f t="shared" si="3"/>
        <v>0.5879718885555252</v>
      </c>
      <c r="Y45" s="157"/>
    </row>
    <row r="46" spans="1:25" ht="21.75" customHeight="1">
      <c r="A46" s="150" t="s">
        <v>336</v>
      </c>
      <c r="B46" s="151" t="s">
        <v>339</v>
      </c>
      <c r="C46" s="228">
        <f>'[3]2)人力资源成本预算表'!C46+'[4]2)人力资源成本预算表'!C45+'[4]2)人力资源成本预算表'!C46+'[5]2)人力资源成本预算表'!C44+'[5]2)人力资源成本预算表'!C45</f>
        <v>2159065.9724999997</v>
      </c>
      <c r="D46" s="228">
        <f>'[3]2)人力资源成本预算表'!D46+'[4]2)人力资源成本预算表'!D45+'[4]2)人力资源成本预算表'!D46+'[5]2)人力资源成本预算表'!D44+'[5]2)人力资源成本预算表'!D45</f>
        <v>0</v>
      </c>
      <c r="E46" s="228">
        <f>'[3]2)人力资源成本预算表'!E46+'[4]2)人力资源成本预算表'!E45+'[4]2)人力资源成本预算表'!E46+'[5]2)人力资源成本预算表'!E44+'[5]2)人力资源成本预算表'!E45</f>
        <v>1795417.84</v>
      </c>
      <c r="F46" s="229"/>
      <c r="G46" s="152">
        <f t="shared" si="30"/>
        <v>1795417.84</v>
      </c>
      <c r="H46" s="153">
        <f t="shared" si="1"/>
        <v>0.8315715512486501</v>
      </c>
      <c r="I46" s="229"/>
      <c r="J46" s="152">
        <f t="shared" si="31"/>
        <v>2246441.74</v>
      </c>
      <c r="K46" s="152">
        <f t="shared" si="32"/>
        <v>1659717</v>
      </c>
      <c r="L46" s="228">
        <f>'[3]2)人力资源成本预算表'!L46+'[4]2)人力资源成本预算表'!L45+'[4]2)人力资源成本预算表'!L46+'[5]2)人力资源成本预算表'!L45+'[5]2)人力资源成本预算表'!L46</f>
        <v>829590</v>
      </c>
      <c r="M46" s="228">
        <f>'[3]2)人力资源成本预算表'!M46+'[4]2)人力资源成本预算表'!M45+'[4]2)人力资源成本预算表'!M46+'[5]2)人力资源成本预算表'!M45+'[5]2)人力资源成本预算表'!M46</f>
        <v>0</v>
      </c>
      <c r="N46" s="228">
        <f>'[3]2)人力资源成本预算表'!N46+'[4]2)人力资源成本预算表'!N45+'[4]2)人力资源成本预算表'!N46+'[5]2)人力资源成本预算表'!N45+'[5]2)人力资源成本预算表'!N46</f>
        <v>159435</v>
      </c>
      <c r="O46" s="228">
        <f>'[3]2)人力资源成本预算表'!O46+'[4]2)人力资源成本预算表'!O45+'[4]2)人力资源成本预算表'!O46+'[5]2)人力资源成本预算表'!O45+'[5]2)人力资源成本预算表'!O46</f>
        <v>243000</v>
      </c>
      <c r="P46" s="228">
        <f>'[3]2)人力资源成本预算表'!P46+'[4]2)人力资源成本预算表'!P45+'[4]2)人力资源成本预算表'!P46+'[5]2)人力资源成本预算表'!P45+'[5]2)人力资源成本预算表'!P46</f>
        <v>396510</v>
      </c>
      <c r="Q46" s="228">
        <f>'[3]2)人力资源成本预算表'!Q46+'[4]2)人力资源成本预算表'!Q45+'[4]2)人力资源成本预算表'!Q46+'[5]2)人力资源成本预算表'!Q45+'[5]2)人力资源成本预算表'!Q46</f>
        <v>31182</v>
      </c>
      <c r="R46" s="228">
        <f>'[3]2)人力资源成本预算表'!R46+'[4]2)人力资源成本预算表'!R45+'[4]2)人力资源成本预算表'!R46+'[5]2)人力资源成本预算表'!R45+'[5]2)人力资源成本预算表'!R46</f>
        <v>53416</v>
      </c>
      <c r="S46" s="228">
        <f>'[3]2)人力资源成本预算表'!S46+'[4]2)人力资源成本预算表'!S45+'[4]2)人力资源成本预算表'!S46+'[5]2)人力资源成本预算表'!S45+'[5]2)人力资源成本预算表'!S46</f>
        <v>331941.1199999999</v>
      </c>
      <c r="T46" s="228">
        <f>'[3]2)人力资源成本预算表'!T46+'[4]2)人力资源成本预算表'!T45+'[4]2)人力资源成本预算表'!T46+'[5]2)人力资源成本预算表'!T45+'[5]2)人力资源成本预算表'!T46</f>
        <v>143592</v>
      </c>
      <c r="U46" s="228">
        <f>'[3]2)人力资源成本预算表'!U46+'[4]2)人力资源成本预算表'!U45+'[4]2)人力资源成本预算表'!U46+'[5]2)人力资源成本预算表'!U45+'[5]2)人力资源成本预算表'!U46</f>
        <v>33014.64</v>
      </c>
      <c r="V46" s="228">
        <f>'[3]2)人力资源成本预算表'!V46+'[4]2)人力资源成本预算表'!V45+'[4]2)人力资源成本预算表'!V46+'[5]2)人力资源成本预算表'!V45+'[5]2)人力资源成本预算表'!V46</f>
        <v>24760.979999999992</v>
      </c>
      <c r="W46" s="228">
        <f>'[3]2)人力资源成本预算表'!W46+'[4]2)人力资源成本预算表'!W45+'[4]2)人力资源成本预算表'!W46+'[5]2)人力资源成本预算表'!W45+'[5]2)人力资源成本预算表'!W46</f>
        <v>0</v>
      </c>
      <c r="X46" s="245">
        <f t="shared" si="3"/>
        <v>0.9244182401573997</v>
      </c>
      <c r="Y46" s="157"/>
    </row>
    <row r="47" spans="1:25" ht="21.75" customHeight="1">
      <c r="A47" s="150" t="s">
        <v>336</v>
      </c>
      <c r="B47" s="151" t="s">
        <v>329</v>
      </c>
      <c r="C47" s="228">
        <f>'[3]2)人力资源成本预算表'!C47+'[4]2)人力资源成本预算表'!C47+'[5]2)人力资源成本预算表'!C46</f>
        <v>637798.25</v>
      </c>
      <c r="D47" s="228">
        <f>'[3]2)人力资源成本预算表'!D47+'[4]2)人力资源成本预算表'!D47+'[5]2)人力资源成本预算表'!D46</f>
        <v>0</v>
      </c>
      <c r="E47" s="228">
        <f>'[3]2)人力资源成本预算表'!E47+'[4]2)人力资源成本预算表'!E47+'[5]2)人力资源成本预算表'!E46</f>
        <v>601212.01</v>
      </c>
      <c r="F47" s="152"/>
      <c r="G47" s="152">
        <f t="shared" si="30"/>
        <v>601212.01</v>
      </c>
      <c r="H47" s="153">
        <f t="shared" si="1"/>
        <v>0.9426366566543574</v>
      </c>
      <c r="I47" s="152"/>
      <c r="J47" s="152">
        <f t="shared" si="31"/>
        <v>416029.52499999997</v>
      </c>
      <c r="K47" s="152">
        <f t="shared" si="32"/>
        <v>281485</v>
      </c>
      <c r="L47" s="228">
        <f>'[3]2)人力资源成本预算表'!L47+'[4]2)人力资源成本预算表'!L47+'[5]2)人力资源成本预算表'!L47</f>
        <v>199800</v>
      </c>
      <c r="M47" s="228">
        <f>'[3]2)人力资源成本预算表'!M47+'[4]2)人力资源成本预算表'!M47+'[5]2)人力资源成本预算表'!M47</f>
        <v>0</v>
      </c>
      <c r="N47" s="228">
        <f>'[3]2)人力资源成本预算表'!N47+'[4]2)人力资源成本预算表'!N47+'[5]2)人力资源成本预算表'!N47</f>
        <v>45120</v>
      </c>
      <c r="O47" s="228">
        <f>'[3]2)人力资源成本预算表'!O47+'[4]2)人力资源成本预算表'!O47+'[5]2)人力资源成本预算表'!O47</f>
        <v>0</v>
      </c>
      <c r="P47" s="228">
        <f>'[3]2)人力资源成本预算表'!P47+'[4]2)人力资源成本预算表'!P47+'[5]2)人力资源成本预算表'!P47</f>
        <v>23125</v>
      </c>
      <c r="Q47" s="228">
        <f>'[3]2)人力资源成本预算表'!Q47+'[4]2)人力资源成本预算表'!Q47+'[5]2)人力资源成本预算表'!Q47</f>
        <v>13440</v>
      </c>
      <c r="R47" s="228">
        <f>'[3]2)人力资源成本预算表'!R47+'[4]2)人力资源成本预算表'!R47+'[5]2)人力资源成本预算表'!R47</f>
        <v>0</v>
      </c>
      <c r="S47" s="228">
        <f>'[3]2)人力资源成本预算表'!S47+'[4]2)人力资源成本预算表'!S47+'[5]2)人力资源成本预算表'!S47</f>
        <v>124691.69999999995</v>
      </c>
      <c r="T47" s="228">
        <f>'[3]2)人力资源成本预算表'!T47+'[4]2)人力资源成本预算表'!T47+'[5]2)人力资源成本预算表'!T47</f>
        <v>1488</v>
      </c>
      <c r="U47" s="228">
        <f>'[3]2)人力资源成本预算表'!U47+'[4]2)人力资源成本预算表'!U47+'[5]2)人力资源成本预算表'!U47</f>
        <v>4779.899999999998</v>
      </c>
      <c r="V47" s="228">
        <f>'[3]2)人力资源成本预算表'!V47+'[4]2)人力资源成本预算表'!V47+'[5]2)人力资源成本预算表'!V47</f>
        <v>3584.9249999999997</v>
      </c>
      <c r="W47" s="228">
        <f>'[3]2)人力资源成本预算表'!W47+'[4]2)人力资源成本预算表'!W47+'[5]2)人力资源成本预算表'!W47</f>
        <v>0</v>
      </c>
      <c r="X47" s="245">
        <f t="shared" si="3"/>
        <v>0.46819590313906073</v>
      </c>
      <c r="Y47" s="157"/>
    </row>
    <row r="48" spans="1:25" ht="21.75" customHeight="1">
      <c r="A48" s="150" t="s">
        <v>336</v>
      </c>
      <c r="B48" s="151" t="s">
        <v>330</v>
      </c>
      <c r="C48" s="228">
        <f>'[3]2)人力资源成本预算表'!C48+'[4]2)人力资源成本预算表'!C48+'[5]2)人力资源成本预算表'!C47</f>
        <v>35102.64</v>
      </c>
      <c r="D48" s="228">
        <f>'[3]2)人力资源成本预算表'!D48+'[4]2)人力资源成本预算表'!D48+'[5]2)人力资源成本预算表'!D47</f>
        <v>0</v>
      </c>
      <c r="E48" s="228">
        <f>'[3]2)人力资源成本预算表'!E48+'[4]2)人力资源成本预算表'!E48+'[5]2)人力资源成本预算表'!E47</f>
        <v>5893</v>
      </c>
      <c r="F48" s="229"/>
      <c r="G48" s="152">
        <f t="shared" si="30"/>
        <v>5893</v>
      </c>
      <c r="H48" s="153">
        <f t="shared" si="1"/>
        <v>0.16787911108680145</v>
      </c>
      <c r="I48" s="229"/>
      <c r="J48" s="152">
        <f t="shared" si="31"/>
        <v>6473.34</v>
      </c>
      <c r="K48" s="152">
        <f t="shared" si="32"/>
        <v>6342</v>
      </c>
      <c r="L48" s="228">
        <f>'[3]2)人力资源成本预算表'!L48+'[4]2)人力资源成本预算表'!L48+'[5]2)人力资源成本预算表'!L48</f>
        <v>4500</v>
      </c>
      <c r="M48" s="228">
        <f>'[3]2)人力资源成本预算表'!M48+'[4]2)人力资源成本预算表'!M48+'[5]2)人力资源成本预算表'!M48</f>
        <v>0</v>
      </c>
      <c r="N48" s="228">
        <f>'[3]2)人力资源成本预算表'!N48+'[4]2)人力资源成本预算表'!N48+'[5]2)人力资源成本预算表'!N48</f>
        <v>1092</v>
      </c>
      <c r="O48" s="228">
        <f>'[3]2)人力资源成本预算表'!O48+'[4]2)人力资源成本预算表'!O48+'[5]2)人力资源成本预算表'!O48</f>
        <v>0</v>
      </c>
      <c r="P48" s="228">
        <f>'[3]2)人力资源成本预算表'!P48+'[4]2)人力资源成本预算表'!P48+'[5]2)人力资源成本预算表'!P48</f>
        <v>750</v>
      </c>
      <c r="Q48" s="228">
        <f>'[3]2)人力资源成本预算表'!Q48+'[4]2)人力资源成本预算表'!Q48+'[5]2)人力资源成本预算表'!Q48</f>
        <v>0</v>
      </c>
      <c r="R48" s="228">
        <f>'[3]2)人力资源成本预算表'!R48+'[4]2)人力资源成本预算表'!R48+'[5]2)人力资源成本预算表'!R48</f>
        <v>0</v>
      </c>
      <c r="S48" s="228">
        <f>'[3]2)人力资源成本预算表'!S48+'[4]2)人力资源成本预算表'!S48+'[5]2)人力资源成本预算表'!S48</f>
        <v>0</v>
      </c>
      <c r="T48" s="228">
        <f>'[3]2)人力资源成本预算表'!T48+'[4]2)人力资源成本预算表'!T48+'[5]2)人力资源成本预算表'!T48</f>
        <v>0</v>
      </c>
      <c r="U48" s="228">
        <f>'[3]2)人力资源成本预算表'!U48+'[4]2)人力资源成本预算表'!U48+'[5]2)人力资源成本预算表'!U48</f>
        <v>131.34</v>
      </c>
      <c r="V48" s="228">
        <f>'[3]2)人力资源成本预算表'!V48+'[4]2)人力资源成本预算表'!V48+'[5]2)人力资源成本预算表'!V48</f>
        <v>0</v>
      </c>
      <c r="W48" s="228">
        <f>'[3]2)人力资源成本预算表'!W48+'[4]2)人力资源成本预算表'!W48+'[5]2)人力资源成本预算表'!W48</f>
        <v>0</v>
      </c>
      <c r="X48" s="245">
        <f t="shared" si="3"/>
        <v>1.0761920923129136</v>
      </c>
      <c r="Y48" s="157"/>
    </row>
    <row r="49" spans="1:25" ht="21.75" customHeight="1">
      <c r="A49" s="150" t="s">
        <v>336</v>
      </c>
      <c r="B49" s="151" t="s">
        <v>322</v>
      </c>
      <c r="C49" s="228">
        <f>'[3]2)人力资源成本预算表'!C49+'[4]2)人力资源成本预算表'!C49+'[5]2)人力资源成本预算表'!C48</f>
        <v>88210.82</v>
      </c>
      <c r="D49" s="228">
        <f>'[3]2)人力资源成本预算表'!D49+'[4]2)人力资源成本预算表'!D49+'[5]2)人力资源成本预算表'!D48</f>
        <v>0</v>
      </c>
      <c r="E49" s="228">
        <f>'[3]2)人力资源成本预算表'!E49+'[4]2)人力资源成本预算表'!E49+'[5]2)人力资源成本预算表'!E48</f>
        <v>0</v>
      </c>
      <c r="F49" s="229"/>
      <c r="G49" s="152">
        <f t="shared" si="30"/>
        <v>0</v>
      </c>
      <c r="H49" s="153">
        <f t="shared" si="1"/>
        <v>0</v>
      </c>
      <c r="I49" s="229"/>
      <c r="J49" s="152">
        <f t="shared" si="31"/>
        <v>427846.4199999998</v>
      </c>
      <c r="K49" s="152">
        <f t="shared" si="32"/>
        <v>426838.4199999998</v>
      </c>
      <c r="L49" s="228">
        <f>'[3]2)人力资源成本预算表'!L49+'[4]2)人力资源成本预算表'!L49+'[5]2)人力资源成本预算表'!L49</f>
        <v>0</v>
      </c>
      <c r="M49" s="228">
        <f>'[3]2)人力资源成本预算表'!M49+'[4]2)人力资源成本预算表'!M49+'[5]2)人力资源成本预算表'!M49</f>
        <v>0</v>
      </c>
      <c r="N49" s="228">
        <f>'[3]2)人力资源成本预算表'!N49+'[4]2)人力资源成本预算表'!N49+'[5]2)人力资源成本预算表'!N49</f>
        <v>0</v>
      </c>
      <c r="O49" s="228">
        <f>'[3]2)人力资源成本预算表'!O49+'[4]2)人力资源成本预算表'!O49+'[5]2)人力资源成本预算表'!O49</f>
        <v>0</v>
      </c>
      <c r="P49" s="228">
        <f>'[3]2)人力资源成本预算表'!P49+'[4]2)人力资源成本预算表'!P49+'[5]2)人力资源成本预算表'!P49</f>
        <v>426838.4199999998</v>
      </c>
      <c r="Q49" s="228">
        <f>'[3]2)人力资源成本预算表'!Q49+'[4]2)人力资源成本预算表'!Q49+'[5]2)人力资源成本预算表'!Q49</f>
        <v>0</v>
      </c>
      <c r="R49" s="228">
        <f>'[3]2)人力资源成本预算表'!R49+'[4]2)人力资源成本预算表'!R49+'[5]2)人力资源成本预算表'!R49</f>
        <v>0</v>
      </c>
      <c r="S49" s="228">
        <f>'[3]2)人力资源成本预算表'!S49+'[4]2)人力资源成本预算表'!S49+'[5]2)人力资源成本预算表'!S49</f>
        <v>0</v>
      </c>
      <c r="T49" s="228">
        <f>'[3]2)人力资源成本预算表'!T49+'[4]2)人力资源成本预算表'!T49+'[5]2)人力资源成本预算表'!T49</f>
        <v>0</v>
      </c>
      <c r="U49" s="228">
        <f>'[3]2)人力资源成本预算表'!U49+'[4]2)人力资源成本预算表'!U49+'[5]2)人力资源成本预算表'!U49</f>
        <v>576</v>
      </c>
      <c r="V49" s="228">
        <f>'[3]2)人力资源成本预算表'!V49+'[4]2)人力资源成本预算表'!V49+'[5]2)人力资源成本预算表'!V49</f>
        <v>432</v>
      </c>
      <c r="W49" s="228">
        <f>'[3]2)人力资源成本预算表'!W49+'[4]2)人力资源成本预算表'!W49+'[5]2)人力资源成本预算表'!W49</f>
        <v>0</v>
      </c>
      <c r="X49" s="245" t="e">
        <f t="shared" si="3"/>
        <v>#DIV/0!</v>
      </c>
      <c r="Y49" s="157"/>
    </row>
    <row r="50" spans="1:25" ht="21.75" customHeight="1">
      <c r="A50" s="150" t="s">
        <v>336</v>
      </c>
      <c r="B50" s="151" t="s">
        <v>323</v>
      </c>
      <c r="C50" s="228">
        <f>'[3]2)人力资源成本预算表'!C50+'[4]2)人力资源成本预算表'!C50+'[5]2)人力资源成本预算表'!C49</f>
        <v>0</v>
      </c>
      <c r="D50" s="228">
        <f>'[3]2)人力资源成本预算表'!D50+'[4]2)人力资源成本预算表'!D50+'[5]2)人力资源成本预算表'!D49</f>
        <v>0</v>
      </c>
      <c r="E50" s="228">
        <f>'[3]2)人力资源成本预算表'!E50+'[4]2)人力资源成本预算表'!E50+'[5]2)人力资源成本预算表'!E49</f>
        <v>0</v>
      </c>
      <c r="F50" s="229"/>
      <c r="G50" s="152">
        <f t="shared" si="30"/>
        <v>0</v>
      </c>
      <c r="H50" s="153" t="e">
        <f t="shared" si="1"/>
        <v>#DIV/0!</v>
      </c>
      <c r="I50" s="229"/>
      <c r="J50" s="152">
        <f t="shared" si="31"/>
        <v>0</v>
      </c>
      <c r="K50" s="152">
        <f t="shared" si="32"/>
        <v>0</v>
      </c>
      <c r="L50" s="228">
        <f>'[3]2)人力资源成本预算表'!L50+'[4]2)人力资源成本预算表'!L50+'[5]2)人力资源成本预算表'!L50</f>
        <v>0</v>
      </c>
      <c r="M50" s="228">
        <f>'[3]2)人力资源成本预算表'!M50+'[4]2)人力资源成本预算表'!M50+'[5]2)人力资源成本预算表'!M50</f>
        <v>0</v>
      </c>
      <c r="N50" s="228">
        <f>'[3]2)人力资源成本预算表'!N50+'[4]2)人力资源成本预算表'!N50+'[5]2)人力资源成本预算表'!N50</f>
        <v>0</v>
      </c>
      <c r="O50" s="228">
        <f>'[3]2)人力资源成本预算表'!O50+'[4]2)人力资源成本预算表'!O50+'[5]2)人力资源成本预算表'!O50</f>
        <v>0</v>
      </c>
      <c r="P50" s="228">
        <f>'[3]2)人力资源成本预算表'!P50+'[4]2)人力资源成本预算表'!P50+'[5]2)人力资源成本预算表'!P50</f>
        <v>0</v>
      </c>
      <c r="Q50" s="228">
        <f>'[3]2)人力资源成本预算表'!Q50+'[4]2)人力资源成本预算表'!Q50+'[5]2)人力资源成本预算表'!Q50</f>
        <v>0</v>
      </c>
      <c r="R50" s="228">
        <f>'[3]2)人力资源成本预算表'!R50+'[4]2)人力资源成本预算表'!R50+'[5]2)人力资源成本预算表'!R50</f>
        <v>0</v>
      </c>
      <c r="S50" s="228">
        <f>'[3]2)人力资源成本预算表'!S50+'[4]2)人力资源成本预算表'!S50+'[5]2)人力资源成本预算表'!S50</f>
        <v>0</v>
      </c>
      <c r="T50" s="228">
        <f>'[3]2)人力资源成本预算表'!T50+'[4]2)人力资源成本预算表'!T50+'[5]2)人力资源成本预算表'!T50</f>
        <v>0</v>
      </c>
      <c r="U50" s="228">
        <f>'[3]2)人力资源成本预算表'!U50+'[4]2)人力资源成本预算表'!U50+'[5]2)人力资源成本预算表'!U50</f>
        <v>0</v>
      </c>
      <c r="V50" s="228">
        <f>'[3]2)人力资源成本预算表'!V50+'[4]2)人力资源成本预算表'!V50+'[5]2)人力资源成本预算表'!V50</f>
        <v>0</v>
      </c>
      <c r="W50" s="228">
        <f>'[3]2)人力资源成本预算表'!W50+'[4]2)人力资源成本预算表'!W50+'[5]2)人力资源成本预算表'!W50</f>
        <v>0</v>
      </c>
      <c r="X50" s="245" t="e">
        <f t="shared" si="3"/>
        <v>#DIV/0!</v>
      </c>
      <c r="Y50" s="157"/>
    </row>
    <row r="51" spans="1:25" ht="21.75" customHeight="1">
      <c r="A51" s="157"/>
      <c r="B51" s="157"/>
      <c r="C51" s="157"/>
      <c r="D51" s="231"/>
      <c r="E51" s="232"/>
      <c r="F51" s="157"/>
      <c r="G51" s="158" t="s">
        <v>340</v>
      </c>
      <c r="H51" s="158"/>
      <c r="I51" s="157"/>
      <c r="J51" s="157"/>
      <c r="K51" s="157"/>
      <c r="L51" s="157"/>
      <c r="M51" s="157"/>
      <c r="N51" s="157"/>
      <c r="O51" s="157"/>
      <c r="P51" s="157"/>
      <c r="Q51" s="157"/>
      <c r="R51" s="157"/>
      <c r="S51" s="158" t="s">
        <v>341</v>
      </c>
      <c r="T51" s="157"/>
      <c r="U51" s="157"/>
      <c r="V51" s="157"/>
      <c r="W51" s="157"/>
      <c r="X51" s="157"/>
      <c r="Y51" s="157"/>
    </row>
    <row r="52" spans="5:14" ht="12.75" hidden="1">
      <c r="E52" s="233" t="s">
        <v>342</v>
      </c>
      <c r="G52" s="234" t="s">
        <v>343</v>
      </c>
      <c r="H52" s="234"/>
      <c r="I52" s="235" t="s">
        <v>344</v>
      </c>
      <c r="J52" s="234" t="s">
        <v>345</v>
      </c>
      <c r="K52" s="234" t="s">
        <v>346</v>
      </c>
      <c r="L52" s="234" t="s">
        <v>347</v>
      </c>
      <c r="M52" s="235" t="s">
        <v>311</v>
      </c>
      <c r="N52" s="234" t="s">
        <v>280</v>
      </c>
    </row>
    <row r="53" spans="2:14" ht="12.75" hidden="1">
      <c r="B53" s="235" t="s">
        <v>348</v>
      </c>
      <c r="C53" s="235"/>
      <c r="D53" s="236" t="s">
        <v>349</v>
      </c>
      <c r="E53" s="237">
        <v>38020</v>
      </c>
      <c r="F53" s="180">
        <v>3</v>
      </c>
      <c r="G53" s="180">
        <f aca="true" t="shared" si="33" ref="G53:G70">E53*F53</f>
        <v>114060</v>
      </c>
      <c r="I53" s="180">
        <f aca="true" t="shared" si="34" ref="I53:I69">300*4</f>
        <v>1200</v>
      </c>
      <c r="J53" s="241">
        <f>3695.46*3</f>
        <v>11086.380000000001</v>
      </c>
      <c r="K53" s="241">
        <v>0</v>
      </c>
      <c r="L53" s="241">
        <f>5218*3</f>
        <v>15654</v>
      </c>
      <c r="M53" s="180">
        <v>0</v>
      </c>
      <c r="N53" s="241">
        <f>SUM(G53:M53)</f>
        <v>142000.38</v>
      </c>
    </row>
    <row r="54" spans="4:14" ht="12.75" hidden="1">
      <c r="D54" s="236" t="s">
        <v>350</v>
      </c>
      <c r="E54" s="237">
        <v>56980</v>
      </c>
      <c r="F54" s="180">
        <v>3</v>
      </c>
      <c r="G54" s="180">
        <f t="shared" si="33"/>
        <v>170940</v>
      </c>
      <c r="I54" s="180">
        <f>300*11</f>
        <v>3300</v>
      </c>
      <c r="J54" s="241">
        <f>4745.55*3</f>
        <v>14236.650000000001</v>
      </c>
      <c r="K54" s="241">
        <v>0</v>
      </c>
      <c r="L54" s="241">
        <f>6816*3</f>
        <v>20448</v>
      </c>
      <c r="M54" s="180">
        <v>42600</v>
      </c>
      <c r="N54" s="241">
        <f>SUM(G54:M54)</f>
        <v>251524.65</v>
      </c>
    </row>
    <row r="55" spans="4:14" ht="12.75" hidden="1">
      <c r="D55" s="210" t="s">
        <v>351</v>
      </c>
      <c r="E55" s="237">
        <v>128097</v>
      </c>
      <c r="F55" s="180">
        <v>3</v>
      </c>
      <c r="G55" s="180">
        <f t="shared" si="33"/>
        <v>384291</v>
      </c>
      <c r="I55" s="180">
        <f t="shared" si="34"/>
        <v>1200</v>
      </c>
      <c r="J55" s="241"/>
      <c r="K55" s="241"/>
      <c r="L55" s="241"/>
      <c r="N55" s="241">
        <f aca="true" t="shared" si="35" ref="N55:N69">SUM(G55:L55)</f>
        <v>385491</v>
      </c>
    </row>
    <row r="56" spans="5:14" ht="12.75" hidden="1">
      <c r="E56" s="237"/>
      <c r="F56" s="180">
        <v>3</v>
      </c>
      <c r="G56" s="180">
        <f t="shared" si="33"/>
        <v>0</v>
      </c>
      <c r="I56" s="180">
        <f t="shared" si="34"/>
        <v>1200</v>
      </c>
      <c r="J56" s="241"/>
      <c r="K56" s="241"/>
      <c r="L56" s="241"/>
      <c r="N56" s="241">
        <f t="shared" si="35"/>
        <v>1200</v>
      </c>
    </row>
    <row r="57" spans="5:14" ht="12.75" hidden="1">
      <c r="E57" s="237"/>
      <c r="F57" s="180">
        <v>3</v>
      </c>
      <c r="G57" s="180">
        <f t="shared" si="33"/>
        <v>0</v>
      </c>
      <c r="I57" s="180">
        <f t="shared" si="34"/>
        <v>1200</v>
      </c>
      <c r="J57" s="241"/>
      <c r="K57" s="241"/>
      <c r="L57" s="241"/>
      <c r="N57" s="241">
        <f t="shared" si="35"/>
        <v>1200</v>
      </c>
    </row>
    <row r="58" spans="5:21" ht="12.75" hidden="1">
      <c r="E58" s="237"/>
      <c r="F58" s="180">
        <v>3</v>
      </c>
      <c r="G58" s="180">
        <f t="shared" si="33"/>
        <v>0</v>
      </c>
      <c r="I58" s="180">
        <f t="shared" si="34"/>
        <v>1200</v>
      </c>
      <c r="J58" s="241"/>
      <c r="K58" s="241"/>
      <c r="L58" s="241"/>
      <c r="N58" s="241">
        <f t="shared" si="35"/>
        <v>1200</v>
      </c>
      <c r="U58" s="180">
        <f>SUM(S59:T61)+M60+M61</f>
        <v>2044713</v>
      </c>
    </row>
    <row r="59" spans="5:20" ht="12.75" hidden="1">
      <c r="E59" s="237"/>
      <c r="F59" s="180">
        <v>3</v>
      </c>
      <c r="G59" s="180">
        <f t="shared" si="33"/>
        <v>0</v>
      </c>
      <c r="I59" s="180">
        <f t="shared" si="34"/>
        <v>1200</v>
      </c>
      <c r="J59" s="241"/>
      <c r="K59" s="241" t="s">
        <v>283</v>
      </c>
      <c r="L59" s="241"/>
      <c r="N59" s="241">
        <f t="shared" si="35"/>
        <v>1200</v>
      </c>
      <c r="O59" s="180">
        <v>660</v>
      </c>
      <c r="P59" s="180">
        <v>0</v>
      </c>
      <c r="Q59" s="180">
        <v>0</v>
      </c>
      <c r="R59" s="180">
        <v>3168</v>
      </c>
      <c r="S59" s="180">
        <v>153563</v>
      </c>
      <c r="T59" s="180">
        <v>536250</v>
      </c>
    </row>
    <row r="60" spans="5:20" ht="12.75" hidden="1">
      <c r="E60" s="237"/>
      <c r="F60" s="180">
        <v>3</v>
      </c>
      <c r="G60" s="180">
        <f t="shared" si="33"/>
        <v>0</v>
      </c>
      <c r="I60" s="180">
        <f t="shared" si="34"/>
        <v>1200</v>
      </c>
      <c r="J60" s="241"/>
      <c r="K60" s="241" t="s">
        <v>39</v>
      </c>
      <c r="L60" s="241"/>
      <c r="N60" s="241">
        <f t="shared" si="35"/>
        <v>1200</v>
      </c>
      <c r="O60" s="180">
        <v>1710</v>
      </c>
      <c r="P60" s="180">
        <v>0</v>
      </c>
      <c r="Q60" s="180">
        <v>0</v>
      </c>
      <c r="R60" s="180">
        <v>8712</v>
      </c>
      <c r="S60" s="180">
        <v>42600</v>
      </c>
      <c r="T60" s="180">
        <v>404500</v>
      </c>
    </row>
    <row r="61" spans="5:20" ht="12.75" hidden="1">
      <c r="E61" s="237"/>
      <c r="F61" s="180">
        <v>3</v>
      </c>
      <c r="G61" s="180">
        <f t="shared" si="33"/>
        <v>0</v>
      </c>
      <c r="I61" s="180">
        <f t="shared" si="34"/>
        <v>1200</v>
      </c>
      <c r="J61" s="241"/>
      <c r="K61" s="241" t="s">
        <v>352</v>
      </c>
      <c r="L61" s="241"/>
      <c r="N61" s="241">
        <f t="shared" si="35"/>
        <v>1200</v>
      </c>
      <c r="O61" s="180">
        <v>3225</v>
      </c>
      <c r="P61" s="180">
        <v>0</v>
      </c>
      <c r="Q61" s="180">
        <v>0</v>
      </c>
      <c r="R61" s="180">
        <v>27720</v>
      </c>
      <c r="S61" s="180">
        <v>107400</v>
      </c>
      <c r="T61" s="180">
        <v>800400</v>
      </c>
    </row>
    <row r="62" spans="5:14" ht="12.75" hidden="1">
      <c r="E62" s="237"/>
      <c r="F62" s="180">
        <v>3</v>
      </c>
      <c r="G62" s="180">
        <f t="shared" si="33"/>
        <v>0</v>
      </c>
      <c r="I62" s="180">
        <f t="shared" si="34"/>
        <v>1200</v>
      </c>
      <c r="J62" s="241"/>
      <c r="K62" s="241"/>
      <c r="L62" s="241"/>
      <c r="N62" s="241">
        <f t="shared" si="35"/>
        <v>1200</v>
      </c>
    </row>
    <row r="63" spans="5:14" ht="12.75" hidden="1">
      <c r="E63" s="237"/>
      <c r="F63" s="180">
        <v>3</v>
      </c>
      <c r="G63" s="180">
        <f t="shared" si="33"/>
        <v>0</v>
      </c>
      <c r="I63" s="180">
        <f t="shared" si="34"/>
        <v>1200</v>
      </c>
      <c r="J63" s="241"/>
      <c r="K63" s="241"/>
      <c r="L63" s="241"/>
      <c r="N63" s="241">
        <f t="shared" si="35"/>
        <v>1200</v>
      </c>
    </row>
    <row r="64" spans="5:19" ht="12.75" hidden="1">
      <c r="E64" s="237"/>
      <c r="F64" s="180">
        <v>3</v>
      </c>
      <c r="G64" s="180">
        <f t="shared" si="33"/>
        <v>0</v>
      </c>
      <c r="I64" s="180">
        <f t="shared" si="34"/>
        <v>1200</v>
      </c>
      <c r="J64" s="241"/>
      <c r="K64" s="241"/>
      <c r="L64" s="241"/>
      <c r="N64" s="241">
        <f t="shared" si="35"/>
        <v>1200</v>
      </c>
      <c r="S64" s="180">
        <f>44737.05/4</f>
        <v>11184.2625</v>
      </c>
    </row>
    <row r="65" spans="5:14" ht="12.75" hidden="1">
      <c r="E65" s="237"/>
      <c r="F65" s="180">
        <v>3</v>
      </c>
      <c r="G65" s="180">
        <f t="shared" si="33"/>
        <v>0</v>
      </c>
      <c r="I65" s="180">
        <f t="shared" si="34"/>
        <v>1200</v>
      </c>
      <c r="J65" s="241"/>
      <c r="K65" s="241"/>
      <c r="L65" s="241"/>
      <c r="N65" s="241">
        <f t="shared" si="35"/>
        <v>1200</v>
      </c>
    </row>
    <row r="66" spans="5:14" ht="12.75" hidden="1">
      <c r="E66" s="237"/>
      <c r="F66" s="180">
        <v>3</v>
      </c>
      <c r="G66" s="180">
        <f t="shared" si="33"/>
        <v>0</v>
      </c>
      <c r="I66" s="180">
        <f t="shared" si="34"/>
        <v>1200</v>
      </c>
      <c r="J66" s="241"/>
      <c r="K66" s="241"/>
      <c r="L66" s="241"/>
      <c r="N66" s="241">
        <f t="shared" si="35"/>
        <v>1200</v>
      </c>
    </row>
    <row r="67" spans="5:14" ht="12.75" hidden="1">
      <c r="E67" s="237"/>
      <c r="F67" s="180">
        <v>3</v>
      </c>
      <c r="G67" s="180">
        <f t="shared" si="33"/>
        <v>0</v>
      </c>
      <c r="I67" s="180">
        <f t="shared" si="34"/>
        <v>1200</v>
      </c>
      <c r="J67" s="241"/>
      <c r="K67" s="241"/>
      <c r="L67" s="241"/>
      <c r="N67" s="241">
        <f t="shared" si="35"/>
        <v>1200</v>
      </c>
    </row>
    <row r="68" spans="5:14" ht="12.75" hidden="1">
      <c r="E68" s="237"/>
      <c r="F68" s="180">
        <v>3</v>
      </c>
      <c r="G68" s="180">
        <f t="shared" si="33"/>
        <v>0</v>
      </c>
      <c r="I68" s="180">
        <f t="shared" si="34"/>
        <v>1200</v>
      </c>
      <c r="J68" s="241"/>
      <c r="K68" s="241"/>
      <c r="L68" s="241"/>
      <c r="N68" s="241">
        <f t="shared" si="35"/>
        <v>1200</v>
      </c>
    </row>
    <row r="69" spans="5:14" ht="12.75" hidden="1">
      <c r="E69" s="237"/>
      <c r="F69" s="180">
        <v>3</v>
      </c>
      <c r="G69" s="180">
        <f t="shared" si="33"/>
        <v>0</v>
      </c>
      <c r="I69" s="180">
        <f t="shared" si="34"/>
        <v>1200</v>
      </c>
      <c r="J69" s="241"/>
      <c r="K69" s="241"/>
      <c r="L69" s="241"/>
      <c r="N69" s="241">
        <f t="shared" si="35"/>
        <v>1200</v>
      </c>
    </row>
    <row r="70" spans="4:14" ht="12.75" hidden="1">
      <c r="D70" s="254" t="s">
        <v>353</v>
      </c>
      <c r="E70" s="237">
        <v>119285</v>
      </c>
      <c r="F70" s="180">
        <v>3</v>
      </c>
      <c r="G70" s="180">
        <f t="shared" si="33"/>
        <v>357855</v>
      </c>
      <c r="I70" s="180">
        <f>300*35</f>
        <v>10500</v>
      </c>
      <c r="J70" s="241">
        <f>10753.1*3</f>
        <v>32259.300000000003</v>
      </c>
      <c r="K70" s="241">
        <f>824.8*3</f>
        <v>2474.3999999999996</v>
      </c>
      <c r="L70" s="241">
        <f>14272*3</f>
        <v>42816</v>
      </c>
      <c r="M70" s="180">
        <f>3300*9+3000*26</f>
        <v>107700</v>
      </c>
      <c r="N70" s="241">
        <f>SUM(G70:M70)</f>
        <v>553604.7</v>
      </c>
    </row>
    <row r="71" ht="12.75" hidden="1">
      <c r="E71" s="237"/>
    </row>
    <row r="72" spans="4:5" ht="12.75" hidden="1">
      <c r="D72" s="255"/>
      <c r="E72" s="237"/>
    </row>
    <row r="73" ht="12.75" hidden="1">
      <c r="E73" s="237"/>
    </row>
    <row r="74" spans="2:16" ht="12.75" hidden="1">
      <c r="B74" s="256" t="s">
        <v>354</v>
      </c>
      <c r="C74" s="256"/>
      <c r="E74" s="233" t="s">
        <v>342</v>
      </c>
      <c r="G74" s="234" t="s">
        <v>355</v>
      </c>
      <c r="H74" s="234"/>
      <c r="I74" s="259" t="s">
        <v>356</v>
      </c>
      <c r="J74" s="235" t="s">
        <v>357</v>
      </c>
      <c r="K74" s="235" t="s">
        <v>344</v>
      </c>
      <c r="L74" s="234" t="s">
        <v>345</v>
      </c>
      <c r="M74" s="234" t="s">
        <v>346</v>
      </c>
      <c r="N74" s="234" t="s">
        <v>347</v>
      </c>
      <c r="O74" s="235" t="s">
        <v>311</v>
      </c>
      <c r="P74" s="234" t="s">
        <v>280</v>
      </c>
    </row>
    <row r="75" spans="4:16" ht="12.75" hidden="1">
      <c r="D75" s="236" t="s">
        <v>349</v>
      </c>
      <c r="E75" s="237">
        <v>42814</v>
      </c>
      <c r="F75" s="180">
        <v>3</v>
      </c>
      <c r="G75" s="180">
        <f>E75*F75</f>
        <v>128442</v>
      </c>
      <c r="I75" s="241">
        <f>220*3</f>
        <v>660</v>
      </c>
      <c r="J75" s="180">
        <f>1056*3</f>
        <v>3168</v>
      </c>
      <c r="K75" s="180">
        <v>0</v>
      </c>
      <c r="L75" s="241">
        <f aca="true" t="shared" si="36" ref="L75:L81">27100.22*3</f>
        <v>81300.66</v>
      </c>
      <c r="M75" s="241"/>
      <c r="N75" s="241">
        <f>8808*3</f>
        <v>26424</v>
      </c>
      <c r="O75" s="180">
        <v>0</v>
      </c>
      <c r="P75" s="241">
        <f>SUM(G75:O75)</f>
        <v>239994.66</v>
      </c>
    </row>
    <row r="76" spans="4:16" ht="12.75" hidden="1">
      <c r="D76" s="236" t="s">
        <v>350</v>
      </c>
      <c r="E76" s="237">
        <v>54000</v>
      </c>
      <c r="F76" s="180">
        <v>3</v>
      </c>
      <c r="G76" s="180">
        <f>E76*F76</f>
        <v>162000</v>
      </c>
      <c r="I76" s="241">
        <f>2610*3+300*3+220*3</f>
        <v>9390</v>
      </c>
      <c r="J76" s="180">
        <f>2904*3</f>
        <v>8712</v>
      </c>
      <c r="K76" s="180">
        <v>0</v>
      </c>
      <c r="L76" s="241">
        <f t="shared" si="36"/>
        <v>81300.66</v>
      </c>
      <c r="M76" s="241"/>
      <c r="N76" s="241">
        <f>12833*3</f>
        <v>38499</v>
      </c>
      <c r="O76" s="180">
        <f>7200*10+5700</f>
        <v>77700</v>
      </c>
      <c r="P76" s="241">
        <f>SUM(G76:O76)</f>
        <v>377601.66000000003</v>
      </c>
    </row>
    <row r="77" spans="4:16" ht="12.75" hidden="1">
      <c r="D77" s="254" t="s">
        <v>358</v>
      </c>
      <c r="E77" s="237">
        <v>125500</v>
      </c>
      <c r="F77" s="180">
        <v>3</v>
      </c>
      <c r="G77" s="180">
        <f>E77*F77</f>
        <v>376500</v>
      </c>
      <c r="I77" s="241">
        <f>4820*3+300*3+895*3</f>
        <v>18045</v>
      </c>
      <c r="J77" s="180">
        <f>10032*3</f>
        <v>30096</v>
      </c>
      <c r="K77" s="180">
        <v>0</v>
      </c>
      <c r="L77" s="241">
        <f>57936.05*3</f>
        <v>173808.15000000002</v>
      </c>
      <c r="M77" s="241">
        <f>150.8*3</f>
        <v>452.40000000000003</v>
      </c>
      <c r="N77" s="241">
        <f>27351*3</f>
        <v>82053</v>
      </c>
      <c r="O77" s="180">
        <f>9*4800+3900*29</f>
        <v>156300</v>
      </c>
      <c r="P77" s="241">
        <f>SUM(G77:O77)</f>
        <v>837254.55</v>
      </c>
    </row>
    <row r="78" spans="4:16" ht="12.75" hidden="1">
      <c r="D78" s="254"/>
      <c r="E78" s="237"/>
      <c r="L78" s="241"/>
      <c r="M78" s="241"/>
      <c r="N78" s="241"/>
      <c r="P78" s="241"/>
    </row>
    <row r="79" spans="2:17" ht="12.75" hidden="1">
      <c r="B79" s="256" t="s">
        <v>354</v>
      </c>
      <c r="C79" s="256"/>
      <c r="E79" s="233" t="s">
        <v>342</v>
      </c>
      <c r="G79" s="234" t="s">
        <v>359</v>
      </c>
      <c r="H79" s="234"/>
      <c r="I79" s="259" t="s">
        <v>356</v>
      </c>
      <c r="J79" s="235" t="s">
        <v>357</v>
      </c>
      <c r="K79" s="235" t="s">
        <v>344</v>
      </c>
      <c r="L79" s="234" t="s">
        <v>345</v>
      </c>
      <c r="M79" s="234" t="s">
        <v>346</v>
      </c>
      <c r="N79" s="234" t="s">
        <v>347</v>
      </c>
      <c r="O79" s="235" t="s">
        <v>311</v>
      </c>
      <c r="P79" s="260" t="s">
        <v>360</v>
      </c>
      <c r="Q79" s="234" t="s">
        <v>280</v>
      </c>
    </row>
    <row r="80" spans="4:17" ht="12.75" hidden="1">
      <c r="D80" s="236" t="s">
        <v>349</v>
      </c>
      <c r="E80" s="237">
        <v>42814</v>
      </c>
      <c r="F80" s="180">
        <v>3</v>
      </c>
      <c r="G80" s="180">
        <f>E80*F80</f>
        <v>128442</v>
      </c>
      <c r="I80" s="241">
        <f>220*3</f>
        <v>660</v>
      </c>
      <c r="J80" s="180">
        <f>1056*3</f>
        <v>3168</v>
      </c>
      <c r="K80" s="180">
        <v>0</v>
      </c>
      <c r="L80" s="241">
        <f t="shared" si="36"/>
        <v>81300.66</v>
      </c>
      <c r="M80" s="241"/>
      <c r="N80" s="241">
        <f>8808*3</f>
        <v>26424</v>
      </c>
      <c r="O80" s="180">
        <v>0</v>
      </c>
      <c r="P80" s="261">
        <v>5250</v>
      </c>
      <c r="Q80" s="241">
        <f>SUM(G80:P80)</f>
        <v>245244.66</v>
      </c>
    </row>
    <row r="81" spans="4:17" ht="12.75" hidden="1">
      <c r="D81" s="236" t="s">
        <v>350</v>
      </c>
      <c r="E81" s="237">
        <v>54000</v>
      </c>
      <c r="F81" s="180">
        <v>3</v>
      </c>
      <c r="G81" s="180">
        <f>E81*F81</f>
        <v>162000</v>
      </c>
      <c r="I81" s="241">
        <f>2610*3+300*3+220*3</f>
        <v>9390</v>
      </c>
      <c r="J81" s="180">
        <f>2904*3</f>
        <v>8712</v>
      </c>
      <c r="K81" s="180">
        <f>300*11*3</f>
        <v>9900</v>
      </c>
      <c r="L81" s="241">
        <f t="shared" si="36"/>
        <v>81300.66</v>
      </c>
      <c r="M81" s="241"/>
      <c r="N81" s="241">
        <f>12833*3</f>
        <v>38499</v>
      </c>
      <c r="O81" s="180">
        <f>7200*10+5700</f>
        <v>77700</v>
      </c>
      <c r="P81" s="261"/>
      <c r="Q81" s="241">
        <f>SUM(G81:P81)</f>
        <v>387501.66000000003</v>
      </c>
    </row>
    <row r="82" spans="4:17" ht="12.75" hidden="1">
      <c r="D82" s="254" t="s">
        <v>358</v>
      </c>
      <c r="E82" s="237">
        <v>125500</v>
      </c>
      <c r="F82" s="180">
        <v>3</v>
      </c>
      <c r="G82" s="180">
        <f>E82*F82</f>
        <v>376500</v>
      </c>
      <c r="I82" s="241">
        <f>4820*3+300*3+895*3</f>
        <v>18045</v>
      </c>
      <c r="J82" s="180">
        <f>10032*3</f>
        <v>30096</v>
      </c>
      <c r="K82" s="180">
        <f>300*38*3</f>
        <v>34200</v>
      </c>
      <c r="L82" s="241">
        <f>57936.05*3</f>
        <v>173808.15000000002</v>
      </c>
      <c r="M82" s="241">
        <f>150.8*3</f>
        <v>452.40000000000003</v>
      </c>
      <c r="N82" s="241">
        <f>27351*3</f>
        <v>82053</v>
      </c>
      <c r="O82" s="180">
        <f>9*4800+3900*29</f>
        <v>156300</v>
      </c>
      <c r="P82" s="261">
        <v>28000</v>
      </c>
      <c r="Q82" s="241">
        <f>SUM(G82:P82)</f>
        <v>899454.55</v>
      </c>
    </row>
    <row r="83" spans="2:11" ht="12.75" hidden="1">
      <c r="B83" s="210"/>
      <c r="C83" s="210"/>
      <c r="D83" s="180"/>
      <c r="E83" s="180"/>
      <c r="G83" s="241"/>
      <c r="H83" s="241"/>
      <c r="I83" s="241"/>
      <c r="K83" s="241"/>
    </row>
    <row r="84" spans="2:16" ht="12.75" hidden="1">
      <c r="B84" s="256" t="s">
        <v>354</v>
      </c>
      <c r="C84" s="256"/>
      <c r="E84" s="233" t="s">
        <v>342</v>
      </c>
      <c r="G84" s="234" t="s">
        <v>361</v>
      </c>
      <c r="H84" s="234"/>
      <c r="I84" s="259" t="s">
        <v>356</v>
      </c>
      <c r="J84" s="235" t="s">
        <v>357</v>
      </c>
      <c r="K84" s="235" t="s">
        <v>344</v>
      </c>
      <c r="L84" s="234" t="s">
        <v>345</v>
      </c>
      <c r="M84" s="234" t="s">
        <v>346</v>
      </c>
      <c r="N84" s="234" t="s">
        <v>347</v>
      </c>
      <c r="O84" s="235" t="s">
        <v>311</v>
      </c>
      <c r="P84" s="234" t="s">
        <v>280</v>
      </c>
    </row>
    <row r="85" spans="4:16" ht="12.75" hidden="1">
      <c r="D85" s="236" t="s">
        <v>349</v>
      </c>
      <c r="E85" s="237">
        <v>42814</v>
      </c>
      <c r="F85" s="180">
        <v>3</v>
      </c>
      <c r="G85" s="180">
        <f>E85*F85</f>
        <v>128442</v>
      </c>
      <c r="I85" s="241">
        <f>220*3</f>
        <v>660</v>
      </c>
      <c r="J85" s="180">
        <f>1056*3</f>
        <v>3168</v>
      </c>
      <c r="K85" s="180">
        <v>0</v>
      </c>
      <c r="L85" s="241">
        <f aca="true" t="shared" si="37" ref="L85:L91">27100.22*3</f>
        <v>81300.66</v>
      </c>
      <c r="M85" s="241"/>
      <c r="N85" s="241">
        <f>8808*3</f>
        <v>26424</v>
      </c>
      <c r="O85" s="180">
        <v>0</v>
      </c>
      <c r="P85" s="241">
        <f>SUM(G85:O85)</f>
        <v>239994.66</v>
      </c>
    </row>
    <row r="86" spans="4:16" ht="12.75" hidden="1">
      <c r="D86" s="236" t="s">
        <v>350</v>
      </c>
      <c r="E86" s="237">
        <v>54000</v>
      </c>
      <c r="F86" s="180">
        <v>3</v>
      </c>
      <c r="G86" s="180">
        <f>E86*F86</f>
        <v>162000</v>
      </c>
      <c r="I86" s="241">
        <f>2610*3+300*3+220*3</f>
        <v>9390</v>
      </c>
      <c r="J86" s="180">
        <f>2904*3</f>
        <v>8712</v>
      </c>
      <c r="K86" s="180">
        <f>300*11*3</f>
        <v>9900</v>
      </c>
      <c r="L86" s="241">
        <f t="shared" si="37"/>
        <v>81300.66</v>
      </c>
      <c r="M86" s="241"/>
      <c r="N86" s="241">
        <f>12833*3</f>
        <v>38499</v>
      </c>
      <c r="O86" s="180">
        <f>7200*10+5700</f>
        <v>77700</v>
      </c>
      <c r="P86" s="241">
        <f>SUM(G86:O86)</f>
        <v>387501.66000000003</v>
      </c>
    </row>
    <row r="87" spans="4:16" ht="12.75" hidden="1">
      <c r="D87" s="254" t="s">
        <v>358</v>
      </c>
      <c r="E87" s="237">
        <v>125500</v>
      </c>
      <c r="F87" s="180">
        <v>3</v>
      </c>
      <c r="G87" s="180">
        <f>E87*F87</f>
        <v>376500</v>
      </c>
      <c r="I87" s="241">
        <f>4820*3+300*3+895*3</f>
        <v>18045</v>
      </c>
      <c r="J87" s="180">
        <f>10032*3</f>
        <v>30096</v>
      </c>
      <c r="K87" s="180">
        <f>300*38*3</f>
        <v>34200</v>
      </c>
      <c r="L87" s="241">
        <f>57936.05*3</f>
        <v>173808.15000000002</v>
      </c>
      <c r="M87" s="241">
        <f>150.8*3</f>
        <v>452.40000000000003</v>
      </c>
      <c r="N87" s="241">
        <f>27351*3</f>
        <v>82053</v>
      </c>
      <c r="O87" s="180">
        <f>9*4800+3900*29</f>
        <v>156300</v>
      </c>
      <c r="P87" s="241">
        <f>SUM(G87:O87)</f>
        <v>871454.55</v>
      </c>
    </row>
    <row r="88" spans="2:14" ht="12.75" hidden="1">
      <c r="B88" s="210"/>
      <c r="C88" s="210"/>
      <c r="E88" s="237"/>
      <c r="J88" s="241"/>
      <c r="K88" s="241"/>
      <c r="L88" s="241"/>
      <c r="N88" s="241"/>
    </row>
    <row r="89" spans="2:17" ht="12.75" hidden="1">
      <c r="B89" s="256" t="s">
        <v>354</v>
      </c>
      <c r="C89" s="256"/>
      <c r="E89" s="233" t="s">
        <v>342</v>
      </c>
      <c r="G89" s="234" t="s">
        <v>362</v>
      </c>
      <c r="H89" s="234"/>
      <c r="I89" s="259" t="s">
        <v>356</v>
      </c>
      <c r="J89" s="235" t="s">
        <v>357</v>
      </c>
      <c r="K89" s="235" t="s">
        <v>344</v>
      </c>
      <c r="L89" s="234" t="s">
        <v>345</v>
      </c>
      <c r="M89" s="234" t="s">
        <v>346</v>
      </c>
      <c r="N89" s="234" t="s">
        <v>347</v>
      </c>
      <c r="O89" s="235" t="s">
        <v>311</v>
      </c>
      <c r="P89" s="260" t="s">
        <v>312</v>
      </c>
      <c r="Q89" s="234" t="s">
        <v>280</v>
      </c>
    </row>
    <row r="90" spans="4:17" ht="12.75" hidden="1">
      <c r="D90" s="236" t="s">
        <v>349</v>
      </c>
      <c r="E90" s="237">
        <v>42814</v>
      </c>
      <c r="F90" s="180">
        <v>3</v>
      </c>
      <c r="G90" s="180">
        <f>E90*F90</f>
        <v>128442</v>
      </c>
      <c r="I90" s="241">
        <f>220*3</f>
        <v>660</v>
      </c>
      <c r="J90" s="180">
        <f>1056*3</f>
        <v>3168</v>
      </c>
      <c r="K90" s="180">
        <v>0</v>
      </c>
      <c r="L90" s="241">
        <f t="shared" si="37"/>
        <v>81300.66</v>
      </c>
      <c r="M90" s="241"/>
      <c r="N90" s="241">
        <f>8808*3</f>
        <v>26424</v>
      </c>
      <c r="O90" s="180">
        <v>0</v>
      </c>
      <c r="P90" s="235">
        <f>176150*2+151490+152020</f>
        <v>655810</v>
      </c>
      <c r="Q90" s="241">
        <f>SUM(G90:O90)</f>
        <v>239994.66</v>
      </c>
    </row>
    <row r="91" spans="4:17" ht="12.75" hidden="1">
      <c r="D91" s="236" t="s">
        <v>350</v>
      </c>
      <c r="E91" s="237">
        <v>54000</v>
      </c>
      <c r="F91" s="180">
        <v>3</v>
      </c>
      <c r="G91" s="180">
        <f>E91*F91</f>
        <v>162000</v>
      </c>
      <c r="I91" s="241">
        <f>2610*3+300*3+220*3</f>
        <v>9390</v>
      </c>
      <c r="J91" s="180">
        <f>2904*3</f>
        <v>8712</v>
      </c>
      <c r="K91" s="180">
        <f>300*11*1</f>
        <v>3300</v>
      </c>
      <c r="L91" s="241">
        <f t="shared" si="37"/>
        <v>81300.66</v>
      </c>
      <c r="M91" s="241"/>
      <c r="N91" s="241">
        <f>12833*3</f>
        <v>38499</v>
      </c>
      <c r="O91" s="180">
        <f>7200*10+5700</f>
        <v>77700</v>
      </c>
      <c r="P91" s="241">
        <f>10*38000+31000</f>
        <v>411000</v>
      </c>
      <c r="Q91" s="241">
        <f>SUM(G91:P91)</f>
        <v>791901.66</v>
      </c>
    </row>
    <row r="92" spans="4:17" ht="12.75" hidden="1">
      <c r="D92" s="254" t="s">
        <v>358</v>
      </c>
      <c r="E92" s="237">
        <v>125500</v>
      </c>
      <c r="F92" s="180">
        <v>3</v>
      </c>
      <c r="G92" s="180">
        <f>E92*F92</f>
        <v>376500</v>
      </c>
      <c r="I92" s="241">
        <f>4820*3+300*3+895*3</f>
        <v>18045</v>
      </c>
      <c r="J92" s="180">
        <f>10032*3</f>
        <v>30096</v>
      </c>
      <c r="K92" s="180">
        <f>300*38*1</f>
        <v>11400</v>
      </c>
      <c r="L92" s="241">
        <f>57936.05*3</f>
        <v>173808.15000000002</v>
      </c>
      <c r="M92" s="241">
        <f>150.8*3</f>
        <v>452.40000000000003</v>
      </c>
      <c r="N92" s="241">
        <f>27351*3</f>
        <v>82053</v>
      </c>
      <c r="O92" s="180">
        <f>9*4800+3900*29</f>
        <v>156300</v>
      </c>
      <c r="P92" s="241">
        <f>9*26000+29*21000</f>
        <v>843000</v>
      </c>
      <c r="Q92" s="241">
        <f>SUM(G92:P92)</f>
        <v>1691654.55</v>
      </c>
    </row>
    <row r="93" spans="2:5" ht="12.75" hidden="1">
      <c r="B93" s="210"/>
      <c r="C93" s="210"/>
      <c r="E93" s="237"/>
    </row>
    <row r="94" spans="2:5" ht="12.75">
      <c r="B94" s="210"/>
      <c r="C94" s="210"/>
      <c r="E94" s="237"/>
    </row>
    <row r="95" ht="12.75">
      <c r="E95" s="237"/>
    </row>
    <row r="96" spans="4:5" ht="12.75">
      <c r="D96" s="257"/>
      <c r="E96" s="258"/>
    </row>
    <row r="97" spans="4:5" ht="12.75">
      <c r="D97" s="211"/>
      <c r="E97" s="237"/>
    </row>
    <row r="98" spans="4:5" ht="12.75">
      <c r="D98" s="211"/>
      <c r="E98" s="237"/>
    </row>
    <row r="100" ht="12.75">
      <c r="D100" s="211"/>
    </row>
  </sheetData>
  <sheetProtection formatCells="0"/>
  <protectedRanges>
    <protectedRange password="C47F" sqref="F17:K23 X17:X23 X26:X32 X35:X41 D42:X43 X44:X50 F26:F32 I26:K32 G26:G32 F35:F41 I35:K41 G35:G41 F44:F50 I44:K50 G44:G50 E33:X34 E24:X25 D6:X12 D13:E13 G13:X13 D14:X16 F13" name="区域1"/>
    <protectedRange sqref="C6:C16 C24:C25 C33:C34 C42:C43 C17:C19 C20:C23 C26:C32 C35:C41 C44:C50 L17:L23 M17:M23 N17:N23 O17:O23 P17:P23 Q17:Q23 R17:R23 S17:S23 T17:T23 U17:U23 V17:V23 W17:W23 L26:W32 L35:W41 L44:W50" name="区域1_1"/>
    <protectedRange sqref="D24:D25 D33:D34" name="区域1_2"/>
    <protectedRange sqref="S49" name="区域1_12"/>
  </protectedRanges>
  <mergeCells count="27">
    <mergeCell ref="A1:Y1"/>
    <mergeCell ref="C3:H3"/>
    <mergeCell ref="I3:W3"/>
    <mergeCell ref="K4:Q4"/>
    <mergeCell ref="A3:A5"/>
    <mergeCell ref="A6:A14"/>
    <mergeCell ref="A15:A23"/>
    <mergeCell ref="A24:A32"/>
    <mergeCell ref="A33:A41"/>
    <mergeCell ref="A42:A50"/>
    <mergeCell ref="B3:B5"/>
    <mergeCell ref="C4:C5"/>
    <mergeCell ref="D4:D5"/>
    <mergeCell ref="E4:E5"/>
    <mergeCell ref="F4:F5"/>
    <mergeCell ref="G4:G5"/>
    <mergeCell ref="H4:H5"/>
    <mergeCell ref="I4:I5"/>
    <mergeCell ref="J4:J5"/>
    <mergeCell ref="R4:R5"/>
    <mergeCell ref="S4:S5"/>
    <mergeCell ref="T4:T5"/>
    <mergeCell ref="U4:U5"/>
    <mergeCell ref="V4:V5"/>
    <mergeCell ref="W4:W5"/>
    <mergeCell ref="X3:X5"/>
    <mergeCell ref="Y3:Y5"/>
  </mergeCells>
  <printOptions/>
  <pageMargins left="0.39" right="0.3" top="0.28" bottom="0.31" header="0.23999999999999996" footer="0.23999999999999996"/>
  <pageSetup fitToHeight="1" fitToWidth="1" horizontalDpi="300" verticalDpi="300" orientation="landscape" paperSize="8" scale="68"/>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M50"/>
  <sheetViews>
    <sheetView workbookViewId="0" topLeftCell="A1">
      <selection activeCell="A2" sqref="A2"/>
    </sheetView>
  </sheetViews>
  <sheetFormatPr defaultColWidth="9.140625" defaultRowHeight="12.75"/>
  <cols>
    <col min="1" max="1" width="30.28125" style="0" customWidth="1"/>
    <col min="2" max="2" width="13.140625" style="0" customWidth="1"/>
    <col min="3" max="3" width="10.7109375" style="0" customWidth="1"/>
    <col min="4" max="4" width="11.7109375" style="0" customWidth="1"/>
    <col min="5" max="6" width="10.7109375" style="0" customWidth="1"/>
    <col min="7" max="11" width="13.7109375" style="0" customWidth="1"/>
    <col min="12" max="13" width="10.7109375" style="0" customWidth="1"/>
  </cols>
  <sheetData>
    <row r="1" spans="1:13" ht="25.5" customHeight="1">
      <c r="A1" s="105" t="s">
        <v>683</v>
      </c>
      <c r="B1" s="23"/>
      <c r="C1" s="23" t="s">
        <v>598</v>
      </c>
      <c r="D1" s="23" t="s">
        <v>598</v>
      </c>
      <c r="E1" s="23" t="s">
        <v>598</v>
      </c>
      <c r="F1" s="23"/>
      <c r="G1" s="23" t="s">
        <v>598</v>
      </c>
      <c r="H1" s="23" t="s">
        <v>598</v>
      </c>
      <c r="I1" s="23" t="s">
        <v>598</v>
      </c>
      <c r="J1" s="23" t="s">
        <v>598</v>
      </c>
      <c r="K1" s="23" t="s">
        <v>598</v>
      </c>
      <c r="L1" s="23" t="s">
        <v>598</v>
      </c>
      <c r="M1" s="23" t="s">
        <v>598</v>
      </c>
    </row>
    <row r="2" spans="1:13" ht="18" customHeight="1">
      <c r="A2" s="106" t="s">
        <v>364</v>
      </c>
      <c r="B2" s="107"/>
      <c r="C2" s="45"/>
      <c r="D2" s="46"/>
      <c r="E2" s="47"/>
      <c r="F2" s="55"/>
      <c r="G2" s="24" t="s">
        <v>288</v>
      </c>
      <c r="H2" s="5"/>
      <c r="I2" s="5"/>
      <c r="J2" s="5"/>
      <c r="K2" s="5"/>
      <c r="L2" s="16" t="s">
        <v>599</v>
      </c>
      <c r="M2" s="5"/>
    </row>
    <row r="3" spans="1:13" ht="18" customHeight="1">
      <c r="A3" s="18" t="s">
        <v>290</v>
      </c>
      <c r="B3" s="90" t="s">
        <v>366</v>
      </c>
      <c r="C3" s="38"/>
      <c r="D3" s="38"/>
      <c r="E3" s="38"/>
      <c r="F3" s="39"/>
      <c r="G3" s="9" t="s">
        <v>292</v>
      </c>
      <c r="H3" s="9"/>
      <c r="I3" s="9" t="s">
        <v>292</v>
      </c>
      <c r="J3" s="9" t="s">
        <v>292</v>
      </c>
      <c r="K3" s="9" t="s">
        <v>292</v>
      </c>
      <c r="L3" s="9" t="s">
        <v>293</v>
      </c>
      <c r="M3" s="18" t="s">
        <v>33</v>
      </c>
    </row>
    <row r="4" spans="1:13" ht="18" customHeight="1">
      <c r="A4" s="18"/>
      <c r="B4" s="9" t="s">
        <v>294</v>
      </c>
      <c r="C4" s="9" t="s">
        <v>463</v>
      </c>
      <c r="D4" s="9" t="s">
        <v>296</v>
      </c>
      <c r="E4" s="9" t="s">
        <v>464</v>
      </c>
      <c r="F4" s="9" t="s">
        <v>299</v>
      </c>
      <c r="G4" s="9" t="s">
        <v>314</v>
      </c>
      <c r="H4" s="9" t="s">
        <v>324</v>
      </c>
      <c r="I4" s="9" t="s">
        <v>331</v>
      </c>
      <c r="J4" s="9" t="s">
        <v>334</v>
      </c>
      <c r="K4" s="9" t="s">
        <v>336</v>
      </c>
      <c r="L4" s="9" t="s">
        <v>293</v>
      </c>
      <c r="M4" s="18" t="s">
        <v>33</v>
      </c>
    </row>
    <row r="5" spans="1:13" ht="18" customHeight="1">
      <c r="A5" s="25" t="s">
        <v>632</v>
      </c>
      <c r="B5" s="11">
        <f aca="true" t="shared" si="0" ref="B5:K5">B6+B32+B43</f>
        <v>0</v>
      </c>
      <c r="C5" s="11">
        <f t="shared" si="0"/>
        <v>352145.92999999993</v>
      </c>
      <c r="D5" s="11">
        <f t="shared" si="0"/>
        <v>28843.85</v>
      </c>
      <c r="E5" s="11">
        <f t="shared" si="0"/>
        <v>380989.77999999997</v>
      </c>
      <c r="F5" s="40" t="e">
        <f aca="true" t="shared" si="1" ref="F5:F47">E5/B5</f>
        <v>#DIV/0!</v>
      </c>
      <c r="G5" s="11">
        <f t="shared" si="0"/>
        <v>549768.14</v>
      </c>
      <c r="H5" s="11">
        <f t="shared" si="0"/>
        <v>177336.535</v>
      </c>
      <c r="I5" s="11">
        <f t="shared" si="0"/>
        <v>99386.535</v>
      </c>
      <c r="J5" s="11">
        <f t="shared" si="0"/>
        <v>98736.535</v>
      </c>
      <c r="K5" s="11">
        <f t="shared" si="0"/>
        <v>174308.535</v>
      </c>
      <c r="L5" s="41">
        <f aca="true" t="shared" si="2" ref="L5:L47">G5/E5</f>
        <v>1.4429997046114993</v>
      </c>
      <c r="M5" s="5"/>
    </row>
    <row r="6" spans="1:13" ht="18" customHeight="1">
      <c r="A6" s="25" t="s">
        <v>633</v>
      </c>
      <c r="B6" s="11">
        <f aca="true" t="shared" si="3" ref="B6:K6">B7+B26+B27</f>
        <v>0</v>
      </c>
      <c r="C6" s="11">
        <f t="shared" si="3"/>
        <v>296461.1</v>
      </c>
      <c r="D6" s="11">
        <f t="shared" si="3"/>
        <v>23126</v>
      </c>
      <c r="E6" s="11">
        <f t="shared" si="3"/>
        <v>319587.1</v>
      </c>
      <c r="F6" s="40" t="e">
        <f t="shared" si="1"/>
        <v>#DIV/0!</v>
      </c>
      <c r="G6" s="11">
        <f t="shared" si="3"/>
        <v>532948.74</v>
      </c>
      <c r="H6" s="11">
        <f t="shared" si="3"/>
        <v>173131.685</v>
      </c>
      <c r="I6" s="11">
        <f t="shared" si="3"/>
        <v>95181.685</v>
      </c>
      <c r="J6" s="11">
        <f t="shared" si="3"/>
        <v>94531.685</v>
      </c>
      <c r="K6" s="11">
        <f t="shared" si="3"/>
        <v>170103.685</v>
      </c>
      <c r="L6" s="41">
        <f t="shared" si="2"/>
        <v>1.6676165589912735</v>
      </c>
      <c r="M6" s="5"/>
    </row>
    <row r="7" spans="1:13" ht="18" customHeight="1">
      <c r="A7" s="72" t="s">
        <v>634</v>
      </c>
      <c r="B7" s="11">
        <f aca="true" t="shared" si="4" ref="B7:K7">B8+B16+B20+B23+B24+B25</f>
        <v>0</v>
      </c>
      <c r="C7" s="11">
        <f t="shared" si="4"/>
        <v>0</v>
      </c>
      <c r="D7" s="11">
        <f t="shared" si="4"/>
        <v>0</v>
      </c>
      <c r="E7" s="11">
        <f t="shared" si="4"/>
        <v>0</v>
      </c>
      <c r="F7" s="40" t="e">
        <f t="shared" si="1"/>
        <v>#DIV/0!</v>
      </c>
      <c r="G7" s="11">
        <f t="shared" si="4"/>
        <v>110448.73999999999</v>
      </c>
      <c r="H7" s="11">
        <f t="shared" si="4"/>
        <v>27131.684999999998</v>
      </c>
      <c r="I7" s="11">
        <f t="shared" si="4"/>
        <v>28681.684999999998</v>
      </c>
      <c r="J7" s="11">
        <f t="shared" si="4"/>
        <v>28031.684999999998</v>
      </c>
      <c r="K7" s="11">
        <f t="shared" si="4"/>
        <v>26603.684999999998</v>
      </c>
      <c r="L7" s="41" t="e">
        <f t="shared" si="2"/>
        <v>#DIV/0!</v>
      </c>
      <c r="M7" s="5"/>
    </row>
    <row r="8" spans="1:13" ht="18" customHeight="1">
      <c r="A8" s="72" t="s">
        <v>635</v>
      </c>
      <c r="B8" s="11">
        <f aca="true" t="shared" si="5" ref="B8:K8">B9+B10+B14+B15</f>
        <v>0</v>
      </c>
      <c r="C8" s="11">
        <f t="shared" si="5"/>
        <v>0</v>
      </c>
      <c r="D8" s="11">
        <f t="shared" si="5"/>
        <v>0</v>
      </c>
      <c r="E8" s="11">
        <f t="shared" si="5"/>
        <v>0</v>
      </c>
      <c r="F8" s="40" t="e">
        <f t="shared" si="1"/>
        <v>#DIV/0!</v>
      </c>
      <c r="G8" s="11">
        <f t="shared" si="5"/>
        <v>84180</v>
      </c>
      <c r="H8" s="11">
        <f t="shared" si="5"/>
        <v>20727</v>
      </c>
      <c r="I8" s="11">
        <f t="shared" si="5"/>
        <v>21627</v>
      </c>
      <c r="J8" s="11">
        <f t="shared" si="5"/>
        <v>21627</v>
      </c>
      <c r="K8" s="11">
        <f t="shared" si="5"/>
        <v>20199</v>
      </c>
      <c r="L8" s="41" t="e">
        <f t="shared" si="2"/>
        <v>#DIV/0!</v>
      </c>
      <c r="M8" s="5"/>
    </row>
    <row r="9" spans="1:13" ht="18" customHeight="1">
      <c r="A9" s="72" t="s">
        <v>636</v>
      </c>
      <c r="B9" s="11"/>
      <c r="C9" s="15"/>
      <c r="D9" s="12"/>
      <c r="E9" s="11">
        <f aca="true" t="shared" si="6" ref="E9:E15">C9+D9</f>
        <v>0</v>
      </c>
      <c r="F9" s="40" t="e">
        <f t="shared" si="1"/>
        <v>#DIV/0!</v>
      </c>
      <c r="G9" s="11">
        <f aca="true" t="shared" si="7" ref="G9:G15">SUM(H9:K9)</f>
        <v>42480</v>
      </c>
      <c r="H9" s="21">
        <f>'[5]1)人工成本'!$E$20*3</f>
        <v>10620</v>
      </c>
      <c r="I9" s="21">
        <f>'[5]1)人工成本'!$E$20*3</f>
        <v>10620</v>
      </c>
      <c r="J9" s="21">
        <f>'[5]1)人工成本'!$E$20*3</f>
        <v>10620</v>
      </c>
      <c r="K9" s="21">
        <f>'[5]1)人工成本'!$E$20*3</f>
        <v>10620</v>
      </c>
      <c r="L9" s="41" t="e">
        <f t="shared" si="2"/>
        <v>#DIV/0!</v>
      </c>
      <c r="M9" s="5"/>
    </row>
    <row r="10" spans="1:13" ht="18" customHeight="1">
      <c r="A10" s="72" t="s">
        <v>637</v>
      </c>
      <c r="B10" s="11">
        <f aca="true" t="shared" si="8" ref="B10:K10">SUM(B11:B13)</f>
        <v>0</v>
      </c>
      <c r="C10" s="11">
        <f t="shared" si="8"/>
        <v>0</v>
      </c>
      <c r="D10" s="11">
        <f t="shared" si="8"/>
        <v>0</v>
      </c>
      <c r="E10" s="11">
        <f t="shared" si="8"/>
        <v>0</v>
      </c>
      <c r="F10" s="40" t="e">
        <f t="shared" si="1"/>
        <v>#DIV/0!</v>
      </c>
      <c r="G10" s="11">
        <f t="shared" si="8"/>
        <v>32820</v>
      </c>
      <c r="H10" s="11">
        <f t="shared" si="8"/>
        <v>8205</v>
      </c>
      <c r="I10" s="11">
        <f t="shared" si="8"/>
        <v>8205</v>
      </c>
      <c r="J10" s="11">
        <f t="shared" si="8"/>
        <v>8205</v>
      </c>
      <c r="K10" s="11">
        <f t="shared" si="8"/>
        <v>8205</v>
      </c>
      <c r="L10" s="41" t="e">
        <f t="shared" si="2"/>
        <v>#DIV/0!</v>
      </c>
      <c r="M10" s="5"/>
    </row>
    <row r="11" spans="1:13" ht="18" customHeight="1">
      <c r="A11" s="75" t="s">
        <v>638</v>
      </c>
      <c r="B11" s="11"/>
      <c r="C11" s="15"/>
      <c r="D11" s="12"/>
      <c r="E11" s="11">
        <f t="shared" si="6"/>
        <v>0</v>
      </c>
      <c r="F11" s="40" t="e">
        <f t="shared" si="1"/>
        <v>#DIV/0!</v>
      </c>
      <c r="G11" s="11">
        <f t="shared" si="7"/>
        <v>0</v>
      </c>
      <c r="H11" s="12"/>
      <c r="I11" s="12"/>
      <c r="J11" s="12"/>
      <c r="K11" s="12"/>
      <c r="L11" s="41" t="e">
        <f t="shared" si="2"/>
        <v>#DIV/0!</v>
      </c>
      <c r="M11" s="5"/>
    </row>
    <row r="12" spans="1:13" ht="18" customHeight="1">
      <c r="A12" s="75" t="s">
        <v>639</v>
      </c>
      <c r="B12" s="11"/>
      <c r="C12" s="15"/>
      <c r="D12" s="12"/>
      <c r="E12" s="11">
        <f t="shared" si="6"/>
        <v>0</v>
      </c>
      <c r="F12" s="40" t="e">
        <f t="shared" si="1"/>
        <v>#DIV/0!</v>
      </c>
      <c r="G12" s="11">
        <f t="shared" si="7"/>
        <v>10800</v>
      </c>
      <c r="H12" s="21">
        <f>'[5]1)人工成本'!$V$20*3</f>
        <v>2700</v>
      </c>
      <c r="I12" s="21">
        <f>'[5]1)人工成本'!$V$20*3</f>
        <v>2700</v>
      </c>
      <c r="J12" s="21">
        <f>'[5]1)人工成本'!$V$20*3</f>
        <v>2700</v>
      </c>
      <c r="K12" s="21">
        <f>'[5]1)人工成本'!$V$20*3</f>
        <v>2700</v>
      </c>
      <c r="L12" s="41" t="e">
        <f t="shared" si="2"/>
        <v>#DIV/0!</v>
      </c>
      <c r="M12" s="5"/>
    </row>
    <row r="13" spans="1:13" ht="18" customHeight="1">
      <c r="A13" s="75" t="s">
        <v>640</v>
      </c>
      <c r="B13" s="11"/>
      <c r="C13" s="15"/>
      <c r="D13" s="12"/>
      <c r="E13" s="11">
        <f t="shared" si="6"/>
        <v>0</v>
      </c>
      <c r="F13" s="40" t="e">
        <f t="shared" si="1"/>
        <v>#DIV/0!</v>
      </c>
      <c r="G13" s="11">
        <f t="shared" si="7"/>
        <v>22020</v>
      </c>
      <c r="H13" s="21">
        <f>'[5]1)人工成本'!$X$20/4</f>
        <v>5505</v>
      </c>
      <c r="I13" s="21">
        <f>'[5]1)人工成本'!$X$20/4</f>
        <v>5505</v>
      </c>
      <c r="J13" s="21">
        <f>'[5]1)人工成本'!$X$20/4</f>
        <v>5505</v>
      </c>
      <c r="K13" s="21">
        <f>'[5]1)人工成本'!$X$20/4</f>
        <v>5505</v>
      </c>
      <c r="L13" s="41" t="e">
        <f t="shared" si="2"/>
        <v>#DIV/0!</v>
      </c>
      <c r="M13" s="5"/>
    </row>
    <row r="14" spans="1:13" ht="18" customHeight="1">
      <c r="A14" s="72" t="s">
        <v>641</v>
      </c>
      <c r="B14" s="11"/>
      <c r="C14" s="15"/>
      <c r="D14" s="12"/>
      <c r="E14" s="11">
        <f t="shared" si="6"/>
        <v>0</v>
      </c>
      <c r="F14" s="40" t="e">
        <f t="shared" si="1"/>
        <v>#DIV/0!</v>
      </c>
      <c r="G14" s="11">
        <f t="shared" si="7"/>
        <v>8880</v>
      </c>
      <c r="H14" s="21">
        <f>('[5]1)人工成本'!$G$20+'[5]1)人工成本'!$H$20+'[5]1)人工成本'!$I$20+'[5]1)人工成本'!$J$20)*3</f>
        <v>1902</v>
      </c>
      <c r="I14" s="21">
        <f>('[5]1)人工成本'!$G$20+'[5]1)人工成本'!$H$20+'[5]1)人工成本'!$I$20+'[5]1)人工成本'!$J$20+'[5]1)人工成本'!$K$20)*3</f>
        <v>2802</v>
      </c>
      <c r="J14" s="21">
        <f>('[5]1)人工成本'!$G$20+'[5]1)人工成本'!$H$20+'[5]1)人工成本'!$I$20+'[5]1)人工成本'!$J$20+'[5]1)人工成本'!$K$20)*3</f>
        <v>2802</v>
      </c>
      <c r="K14" s="21">
        <f>('[5]1)人工成本'!$G$20+'[5]1)人工成本'!$H$20+'[5]1)人工成本'!$I$20)*3+'[5]1)人工成本'!$J$20</f>
        <v>1374</v>
      </c>
      <c r="L14" s="41" t="e">
        <f t="shared" si="2"/>
        <v>#DIV/0!</v>
      </c>
      <c r="M14" s="5"/>
    </row>
    <row r="15" spans="1:13" ht="18" customHeight="1">
      <c r="A15" s="72" t="s">
        <v>642</v>
      </c>
      <c r="B15" s="11"/>
      <c r="C15" s="15"/>
      <c r="D15" s="12"/>
      <c r="E15" s="11">
        <f t="shared" si="6"/>
        <v>0</v>
      </c>
      <c r="F15" s="40" t="e">
        <f t="shared" si="1"/>
        <v>#DIV/0!</v>
      </c>
      <c r="G15" s="11">
        <f t="shared" si="7"/>
        <v>0</v>
      </c>
      <c r="H15" s="21"/>
      <c r="I15" s="21"/>
      <c r="J15" s="21"/>
      <c r="K15" s="21"/>
      <c r="L15" s="41" t="e">
        <f t="shared" si="2"/>
        <v>#DIV/0!</v>
      </c>
      <c r="M15" s="5"/>
    </row>
    <row r="16" spans="1:13" ht="18" customHeight="1">
      <c r="A16" s="72" t="s">
        <v>643</v>
      </c>
      <c r="B16" s="11">
        <f aca="true" t="shared" si="9" ref="B16:K16">SUM(B17:B19)</f>
        <v>0</v>
      </c>
      <c r="C16" s="11">
        <f t="shared" si="9"/>
        <v>0</v>
      </c>
      <c r="D16" s="11">
        <f t="shared" si="9"/>
        <v>0</v>
      </c>
      <c r="E16" s="11">
        <f t="shared" si="9"/>
        <v>0</v>
      </c>
      <c r="F16" s="40" t="e">
        <f t="shared" si="1"/>
        <v>#DIV/0!</v>
      </c>
      <c r="G16" s="11">
        <f t="shared" si="9"/>
        <v>650</v>
      </c>
      <c r="H16" s="11">
        <f t="shared" si="9"/>
        <v>0</v>
      </c>
      <c r="I16" s="11">
        <f t="shared" si="9"/>
        <v>650</v>
      </c>
      <c r="J16" s="11">
        <f t="shared" si="9"/>
        <v>0</v>
      </c>
      <c r="K16" s="11">
        <f t="shared" si="9"/>
        <v>0</v>
      </c>
      <c r="L16" s="41" t="e">
        <f t="shared" si="2"/>
        <v>#DIV/0!</v>
      </c>
      <c r="M16" s="5"/>
    </row>
    <row r="17" spans="1:13" ht="18" customHeight="1">
      <c r="A17" s="72" t="s">
        <v>644</v>
      </c>
      <c r="B17" s="11"/>
      <c r="C17" s="15"/>
      <c r="D17" s="12"/>
      <c r="E17" s="11">
        <f aca="true" t="shared" si="10" ref="E17:E19">C17+D17</f>
        <v>0</v>
      </c>
      <c r="F17" s="40" t="e">
        <f t="shared" si="1"/>
        <v>#DIV/0!</v>
      </c>
      <c r="G17" s="11">
        <f aca="true" t="shared" si="11" ref="G17:G19">SUM(H17:K17)</f>
        <v>0</v>
      </c>
      <c r="H17" s="21"/>
      <c r="I17" s="21"/>
      <c r="J17" s="21"/>
      <c r="K17" s="21"/>
      <c r="L17" s="41" t="e">
        <f t="shared" si="2"/>
        <v>#DIV/0!</v>
      </c>
      <c r="M17" s="5"/>
    </row>
    <row r="18" spans="1:13" ht="18" customHeight="1">
      <c r="A18" s="72" t="s">
        <v>645</v>
      </c>
      <c r="B18" s="11"/>
      <c r="C18" s="15"/>
      <c r="D18" s="12"/>
      <c r="E18" s="11">
        <f t="shared" si="10"/>
        <v>0</v>
      </c>
      <c r="F18" s="40" t="e">
        <f t="shared" si="1"/>
        <v>#DIV/0!</v>
      </c>
      <c r="G18" s="11">
        <f t="shared" si="11"/>
        <v>650</v>
      </c>
      <c r="H18" s="21"/>
      <c r="I18" s="21">
        <v>650</v>
      </c>
      <c r="J18" s="21"/>
      <c r="K18" s="21"/>
      <c r="L18" s="41" t="e">
        <f t="shared" si="2"/>
        <v>#DIV/0!</v>
      </c>
      <c r="M18" s="5"/>
    </row>
    <row r="19" spans="1:13" ht="18" customHeight="1">
      <c r="A19" s="72" t="s">
        <v>646</v>
      </c>
      <c r="B19" s="11"/>
      <c r="C19" s="15"/>
      <c r="D19" s="12"/>
      <c r="E19" s="11">
        <f t="shared" si="10"/>
        <v>0</v>
      </c>
      <c r="F19" s="40" t="e">
        <f t="shared" si="1"/>
        <v>#DIV/0!</v>
      </c>
      <c r="G19" s="11">
        <f t="shared" si="11"/>
        <v>0</v>
      </c>
      <c r="H19" s="21"/>
      <c r="I19" s="21"/>
      <c r="J19" s="21"/>
      <c r="K19" s="21"/>
      <c r="L19" s="41" t="e">
        <f t="shared" si="2"/>
        <v>#DIV/0!</v>
      </c>
      <c r="M19" s="5"/>
    </row>
    <row r="20" spans="1:13" ht="18" customHeight="1">
      <c r="A20" s="72" t="s">
        <v>647</v>
      </c>
      <c r="B20" s="11">
        <f aca="true" t="shared" si="12" ref="B20:K20">SUM(B21:B22)</f>
        <v>0</v>
      </c>
      <c r="C20" s="11">
        <f t="shared" si="12"/>
        <v>0</v>
      </c>
      <c r="D20" s="11">
        <f t="shared" si="12"/>
        <v>0</v>
      </c>
      <c r="E20" s="11">
        <f t="shared" si="12"/>
        <v>0</v>
      </c>
      <c r="F20" s="40" t="e">
        <f t="shared" si="1"/>
        <v>#DIV/0!</v>
      </c>
      <c r="G20" s="11">
        <f t="shared" si="12"/>
        <v>15808.199999999999</v>
      </c>
      <c r="H20" s="11">
        <f t="shared" si="12"/>
        <v>3952.0499999999997</v>
      </c>
      <c r="I20" s="11">
        <f t="shared" si="12"/>
        <v>3952.0499999999997</v>
      </c>
      <c r="J20" s="11">
        <f t="shared" si="12"/>
        <v>3952.0499999999997</v>
      </c>
      <c r="K20" s="11">
        <f t="shared" si="12"/>
        <v>3952.0499999999997</v>
      </c>
      <c r="L20" s="41" t="e">
        <f t="shared" si="2"/>
        <v>#DIV/0!</v>
      </c>
      <c r="M20" s="5"/>
    </row>
    <row r="21" spans="1:13" ht="18" customHeight="1">
      <c r="A21" s="72" t="s">
        <v>648</v>
      </c>
      <c r="B21" s="11"/>
      <c r="C21" s="15"/>
      <c r="D21" s="12"/>
      <c r="E21" s="11">
        <f aca="true" t="shared" si="13" ref="E21:E26">C21+D21</f>
        <v>0</v>
      </c>
      <c r="F21" s="40" t="e">
        <f t="shared" si="1"/>
        <v>#DIV/0!</v>
      </c>
      <c r="G21" s="11">
        <f aca="true" t="shared" si="14" ref="G21:G26">SUM(H21:K21)</f>
        <v>15808.199999999999</v>
      </c>
      <c r="H21" s="21">
        <f>('[5]1)人工成本'!$N$20+'[5]1)人工成本'!$O$20+'[5]1)人工成本'!$P$20+'[5]1)人工成本'!$Q$20)*3</f>
        <v>3952.0499999999997</v>
      </c>
      <c r="I21" s="21">
        <f>('[5]1)人工成本'!$N$20+'[5]1)人工成本'!$O$20+'[5]1)人工成本'!$P$20+'[5]1)人工成本'!$Q$20)*3</f>
        <v>3952.0499999999997</v>
      </c>
      <c r="J21" s="21">
        <f>('[5]1)人工成本'!$N$20+'[5]1)人工成本'!$O$20+'[5]1)人工成本'!$P$20+'[5]1)人工成本'!$Q$20)*3</f>
        <v>3952.0499999999997</v>
      </c>
      <c r="K21" s="21">
        <f>('[5]1)人工成本'!$N$20+'[5]1)人工成本'!$O$20+'[5]1)人工成本'!$P$20+'[5]1)人工成本'!$Q$20)*3</f>
        <v>3952.0499999999997</v>
      </c>
      <c r="L21" s="41" t="e">
        <f t="shared" si="2"/>
        <v>#DIV/0!</v>
      </c>
      <c r="M21" s="5"/>
    </row>
    <row r="22" spans="1:13" ht="18" customHeight="1">
      <c r="A22" s="72" t="s">
        <v>649</v>
      </c>
      <c r="B22" s="11"/>
      <c r="C22" s="15"/>
      <c r="D22" s="12"/>
      <c r="E22" s="11">
        <f t="shared" si="13"/>
        <v>0</v>
      </c>
      <c r="F22" s="40" t="e">
        <f t="shared" si="1"/>
        <v>#DIV/0!</v>
      </c>
      <c r="G22" s="11">
        <f t="shared" si="14"/>
        <v>0</v>
      </c>
      <c r="H22" s="21"/>
      <c r="I22" s="21"/>
      <c r="J22" s="21"/>
      <c r="K22" s="21"/>
      <c r="L22" s="41" t="e">
        <f t="shared" si="2"/>
        <v>#DIV/0!</v>
      </c>
      <c r="M22" s="5"/>
    </row>
    <row r="23" spans="1:13" ht="18" customHeight="1">
      <c r="A23" s="72" t="s">
        <v>650</v>
      </c>
      <c r="B23" s="11"/>
      <c r="C23" s="15"/>
      <c r="D23" s="12"/>
      <c r="E23" s="11">
        <f t="shared" si="13"/>
        <v>0</v>
      </c>
      <c r="F23" s="40" t="e">
        <f t="shared" si="1"/>
        <v>#DIV/0!</v>
      </c>
      <c r="G23" s="11">
        <f t="shared" si="14"/>
        <v>7512</v>
      </c>
      <c r="H23" s="21">
        <f>'[5]1)人工成本'!$S$20*3</f>
        <v>1878</v>
      </c>
      <c r="I23" s="21">
        <f>'[5]1)人工成本'!$S$20*3</f>
        <v>1878</v>
      </c>
      <c r="J23" s="21">
        <f>'[5]1)人工成本'!$S$20*3</f>
        <v>1878</v>
      </c>
      <c r="K23" s="21">
        <f>'[5]1)人工成本'!$S$20*3</f>
        <v>1878</v>
      </c>
      <c r="L23" s="41" t="e">
        <f t="shared" si="2"/>
        <v>#DIV/0!</v>
      </c>
      <c r="M23" s="5"/>
    </row>
    <row r="24" spans="1:13" ht="18" customHeight="1">
      <c r="A24" s="72" t="s">
        <v>651</v>
      </c>
      <c r="B24" s="11"/>
      <c r="C24" s="15"/>
      <c r="D24" s="12"/>
      <c r="E24" s="11">
        <f t="shared" si="13"/>
        <v>0</v>
      </c>
      <c r="F24" s="40" t="e">
        <f t="shared" si="1"/>
        <v>#DIV/0!</v>
      </c>
      <c r="G24" s="11">
        <f t="shared" si="14"/>
        <v>1275.12</v>
      </c>
      <c r="H24" s="21">
        <f>'[5]1)人工成本'!$U$20/4</f>
        <v>318.78</v>
      </c>
      <c r="I24" s="21">
        <f>'[5]1)人工成本'!$U$20/4</f>
        <v>318.78</v>
      </c>
      <c r="J24" s="21">
        <f>'[5]1)人工成本'!$U$20/4</f>
        <v>318.78</v>
      </c>
      <c r="K24" s="21">
        <f>'[5]1)人工成本'!$U$20/4</f>
        <v>318.78</v>
      </c>
      <c r="L24" s="41" t="e">
        <f t="shared" si="2"/>
        <v>#DIV/0!</v>
      </c>
      <c r="M24" s="5"/>
    </row>
    <row r="25" spans="1:13" ht="18" customHeight="1">
      <c r="A25" s="72" t="s">
        <v>652</v>
      </c>
      <c r="B25" s="11"/>
      <c r="C25" s="15"/>
      <c r="D25" s="12"/>
      <c r="E25" s="11">
        <f t="shared" si="13"/>
        <v>0</v>
      </c>
      <c r="F25" s="40" t="e">
        <f t="shared" si="1"/>
        <v>#DIV/0!</v>
      </c>
      <c r="G25" s="11">
        <f t="shared" si="14"/>
        <v>1023.42</v>
      </c>
      <c r="H25" s="21">
        <f>'[5]1)人工成本'!$U$21/4</f>
        <v>255.855</v>
      </c>
      <c r="I25" s="21">
        <f>'[5]1)人工成本'!$U$21/4</f>
        <v>255.855</v>
      </c>
      <c r="J25" s="21">
        <f>'[5]1)人工成本'!$U$21/4</f>
        <v>255.855</v>
      </c>
      <c r="K25" s="21">
        <f>'[5]1)人工成本'!$U$21/4</f>
        <v>255.855</v>
      </c>
      <c r="L25" s="41" t="e">
        <f t="shared" si="2"/>
        <v>#DIV/0!</v>
      </c>
      <c r="M25" s="5"/>
    </row>
    <row r="26" spans="1:13" ht="18" customHeight="1">
      <c r="A26" s="108" t="s">
        <v>653</v>
      </c>
      <c r="B26" s="11"/>
      <c r="C26" s="11">
        <v>153667.1</v>
      </c>
      <c r="D26" s="21">
        <f>7916+4560+10650</f>
        <v>23126</v>
      </c>
      <c r="E26" s="11">
        <f t="shared" si="13"/>
        <v>176793.1</v>
      </c>
      <c r="F26" s="40" t="e">
        <f t="shared" si="1"/>
        <v>#DIV/0!</v>
      </c>
      <c r="G26" s="11">
        <f t="shared" si="14"/>
        <v>114000</v>
      </c>
      <c r="H26" s="21">
        <v>28500</v>
      </c>
      <c r="I26" s="21">
        <v>28500</v>
      </c>
      <c r="J26" s="21">
        <v>28500</v>
      </c>
      <c r="K26" s="21">
        <v>28500</v>
      </c>
      <c r="L26" s="41">
        <f t="shared" si="2"/>
        <v>0.6448215456372449</v>
      </c>
      <c r="M26" s="5"/>
    </row>
    <row r="27" spans="1:13" ht="18" customHeight="1">
      <c r="A27" s="108" t="s">
        <v>654</v>
      </c>
      <c r="B27" s="11">
        <f aca="true" t="shared" si="15" ref="B27:K27">SUM(B28:B31)</f>
        <v>0</v>
      </c>
      <c r="C27" s="11">
        <f t="shared" si="15"/>
        <v>142794</v>
      </c>
      <c r="D27" s="11">
        <f t="shared" si="15"/>
        <v>0</v>
      </c>
      <c r="E27" s="11">
        <f t="shared" si="15"/>
        <v>142794</v>
      </c>
      <c r="F27" s="40" t="e">
        <f t="shared" si="1"/>
        <v>#DIV/0!</v>
      </c>
      <c r="G27" s="11">
        <f t="shared" si="15"/>
        <v>308500</v>
      </c>
      <c r="H27" s="11">
        <f t="shared" si="15"/>
        <v>117500</v>
      </c>
      <c r="I27" s="11">
        <f t="shared" si="15"/>
        <v>38000</v>
      </c>
      <c r="J27" s="11">
        <f t="shared" si="15"/>
        <v>38000</v>
      </c>
      <c r="K27" s="11">
        <f t="shared" si="15"/>
        <v>115000</v>
      </c>
      <c r="L27" s="41">
        <f t="shared" si="2"/>
        <v>2.1604549210751154</v>
      </c>
      <c r="M27" s="5"/>
    </row>
    <row r="28" spans="1:13" ht="18" customHeight="1">
      <c r="A28" s="108" t="s">
        <v>655</v>
      </c>
      <c r="B28" s="11"/>
      <c r="C28" s="11">
        <v>9220</v>
      </c>
      <c r="D28" s="21"/>
      <c r="E28" s="11">
        <f aca="true" t="shared" si="16" ref="E28:E31">C28+D28</f>
        <v>9220</v>
      </c>
      <c r="F28" s="40" t="e">
        <f t="shared" si="1"/>
        <v>#DIV/0!</v>
      </c>
      <c r="G28" s="11">
        <f aca="true" t="shared" si="17" ref="G28:G31">SUM(H28:K28)</f>
        <v>0</v>
      </c>
      <c r="H28" s="21"/>
      <c r="I28" s="21"/>
      <c r="J28" s="21"/>
      <c r="K28" s="21"/>
      <c r="L28" s="41">
        <f t="shared" si="2"/>
        <v>0</v>
      </c>
      <c r="M28" s="5"/>
    </row>
    <row r="29" spans="1:13" ht="18" customHeight="1">
      <c r="A29" s="108" t="s">
        <v>656</v>
      </c>
      <c r="B29" s="11"/>
      <c r="C29" s="11">
        <v>98745</v>
      </c>
      <c r="D29" s="21"/>
      <c r="E29" s="11">
        <f t="shared" si="16"/>
        <v>98745</v>
      </c>
      <c r="F29" s="40" t="e">
        <f t="shared" si="1"/>
        <v>#DIV/0!</v>
      </c>
      <c r="G29" s="11">
        <f t="shared" si="17"/>
        <v>236500</v>
      </c>
      <c r="H29" s="21">
        <v>99500</v>
      </c>
      <c r="I29" s="21">
        <v>20000</v>
      </c>
      <c r="J29" s="21">
        <v>20000</v>
      </c>
      <c r="K29" s="21">
        <v>97000</v>
      </c>
      <c r="L29" s="41">
        <f t="shared" si="2"/>
        <v>2.39505797761912</v>
      </c>
      <c r="M29" s="5"/>
    </row>
    <row r="30" spans="1:13" ht="18" customHeight="1">
      <c r="A30" s="108" t="s">
        <v>657</v>
      </c>
      <c r="B30" s="11"/>
      <c r="C30" s="11">
        <v>34829</v>
      </c>
      <c r="D30" s="21"/>
      <c r="E30" s="11">
        <f t="shared" si="16"/>
        <v>34829</v>
      </c>
      <c r="F30" s="40" t="e">
        <f t="shared" si="1"/>
        <v>#DIV/0!</v>
      </c>
      <c r="G30" s="11">
        <f t="shared" si="17"/>
        <v>36000</v>
      </c>
      <c r="H30" s="21">
        <v>9000</v>
      </c>
      <c r="I30" s="21">
        <v>9000</v>
      </c>
      <c r="J30" s="21">
        <v>9000</v>
      </c>
      <c r="K30" s="21">
        <v>9000</v>
      </c>
      <c r="L30" s="41">
        <f t="shared" si="2"/>
        <v>1.0336214074478165</v>
      </c>
      <c r="M30" s="5"/>
    </row>
    <row r="31" spans="1:13" ht="18" customHeight="1">
      <c r="A31" s="108" t="s">
        <v>658</v>
      </c>
      <c r="B31" s="11"/>
      <c r="C31" s="11"/>
      <c r="D31" s="21"/>
      <c r="E31" s="11">
        <f t="shared" si="16"/>
        <v>0</v>
      </c>
      <c r="F31" s="40" t="e">
        <f t="shared" si="1"/>
        <v>#DIV/0!</v>
      </c>
      <c r="G31" s="11">
        <f t="shared" si="17"/>
        <v>36000</v>
      </c>
      <c r="H31" s="21">
        <v>9000</v>
      </c>
      <c r="I31" s="21">
        <v>9000</v>
      </c>
      <c r="J31" s="21">
        <v>9000</v>
      </c>
      <c r="K31" s="21">
        <v>9000</v>
      </c>
      <c r="L31" s="41" t="e">
        <f t="shared" si="2"/>
        <v>#DIV/0!</v>
      </c>
      <c r="M31" s="5"/>
    </row>
    <row r="32" spans="1:13" ht="18" customHeight="1">
      <c r="A32" s="25" t="s">
        <v>659</v>
      </c>
      <c r="B32" s="26">
        <f aca="true" t="shared" si="18" ref="B32:K32">SUM(B33:B42)</f>
        <v>0</v>
      </c>
      <c r="C32" s="26">
        <f t="shared" si="18"/>
        <v>37079.159999999996</v>
      </c>
      <c r="D32" s="26">
        <f t="shared" si="18"/>
        <v>4013</v>
      </c>
      <c r="E32" s="26">
        <f t="shared" si="18"/>
        <v>41092.159999999996</v>
      </c>
      <c r="F32" s="40" t="e">
        <f t="shared" si="1"/>
        <v>#DIV/0!</v>
      </c>
      <c r="G32" s="26">
        <f t="shared" si="18"/>
        <v>10000</v>
      </c>
      <c r="H32" s="26">
        <f t="shared" si="18"/>
        <v>2500</v>
      </c>
      <c r="I32" s="26">
        <f t="shared" si="18"/>
        <v>2500</v>
      </c>
      <c r="J32" s="26">
        <f t="shared" si="18"/>
        <v>2500</v>
      </c>
      <c r="K32" s="26">
        <f t="shared" si="18"/>
        <v>2500</v>
      </c>
      <c r="L32" s="41">
        <f t="shared" si="2"/>
        <v>0.24335542351631068</v>
      </c>
      <c r="M32" s="5"/>
    </row>
    <row r="33" spans="1:13" ht="18" customHeight="1">
      <c r="A33" s="25" t="s">
        <v>660</v>
      </c>
      <c r="B33" s="11"/>
      <c r="C33" s="21"/>
      <c r="D33" s="21"/>
      <c r="E33" s="11">
        <f aca="true" t="shared" si="19" ref="E33:E42">C33+D33</f>
        <v>0</v>
      </c>
      <c r="F33" s="40" t="e">
        <f t="shared" si="1"/>
        <v>#DIV/0!</v>
      </c>
      <c r="G33" s="11">
        <f aca="true" t="shared" si="20" ref="G33:G42">SUM(H33:K33)</f>
        <v>0</v>
      </c>
      <c r="H33" s="21"/>
      <c r="I33" s="21"/>
      <c r="J33" s="21"/>
      <c r="K33" s="21"/>
      <c r="L33" s="41" t="e">
        <f t="shared" si="2"/>
        <v>#DIV/0!</v>
      </c>
      <c r="M33" s="5"/>
    </row>
    <row r="34" spans="1:13" ht="18" customHeight="1">
      <c r="A34" s="25" t="s">
        <v>661</v>
      </c>
      <c r="B34" s="11"/>
      <c r="C34" s="21"/>
      <c r="D34" s="21"/>
      <c r="E34" s="11">
        <f t="shared" si="19"/>
        <v>0</v>
      </c>
      <c r="F34" s="40" t="e">
        <f t="shared" si="1"/>
        <v>#DIV/0!</v>
      </c>
      <c r="G34" s="11">
        <f t="shared" si="20"/>
        <v>0</v>
      </c>
      <c r="H34" s="21"/>
      <c r="I34" s="21"/>
      <c r="J34" s="21"/>
      <c r="K34" s="21"/>
      <c r="L34" s="41" t="e">
        <f t="shared" si="2"/>
        <v>#DIV/0!</v>
      </c>
      <c r="M34" s="5"/>
    </row>
    <row r="35" spans="1:13" ht="18" customHeight="1">
      <c r="A35" s="25" t="s">
        <v>662</v>
      </c>
      <c r="B35" s="11"/>
      <c r="C35" s="21">
        <v>5106.15</v>
      </c>
      <c r="D35" s="21">
        <f>327.17+66.05+100</f>
        <v>493.22</v>
      </c>
      <c r="E35" s="11">
        <f t="shared" si="19"/>
        <v>5599.37</v>
      </c>
      <c r="F35" s="40" t="e">
        <f t="shared" si="1"/>
        <v>#DIV/0!</v>
      </c>
      <c r="G35" s="11">
        <f t="shared" si="20"/>
        <v>7200</v>
      </c>
      <c r="H35" s="21">
        <v>1800</v>
      </c>
      <c r="I35" s="21">
        <v>1800</v>
      </c>
      <c r="J35" s="21">
        <v>1800</v>
      </c>
      <c r="K35" s="21">
        <v>1800</v>
      </c>
      <c r="L35" s="41">
        <f t="shared" si="2"/>
        <v>1.2858589448455808</v>
      </c>
      <c r="M35" s="5"/>
    </row>
    <row r="36" spans="1:13" ht="18" customHeight="1">
      <c r="A36" s="25" t="s">
        <v>663</v>
      </c>
      <c r="B36" s="11"/>
      <c r="C36" s="21"/>
      <c r="D36" s="21"/>
      <c r="E36" s="11">
        <f t="shared" si="19"/>
        <v>0</v>
      </c>
      <c r="F36" s="40" t="e">
        <f t="shared" si="1"/>
        <v>#DIV/0!</v>
      </c>
      <c r="G36" s="11">
        <f t="shared" si="20"/>
        <v>800</v>
      </c>
      <c r="H36" s="21">
        <v>200</v>
      </c>
      <c r="I36" s="21">
        <v>200</v>
      </c>
      <c r="J36" s="21">
        <v>200</v>
      </c>
      <c r="K36" s="21">
        <v>200</v>
      </c>
      <c r="L36" s="41" t="e">
        <f t="shared" si="2"/>
        <v>#DIV/0!</v>
      </c>
      <c r="M36" s="5"/>
    </row>
    <row r="37" spans="1:13" ht="18" customHeight="1">
      <c r="A37" s="25" t="s">
        <v>664</v>
      </c>
      <c r="B37" s="11"/>
      <c r="C37" s="21"/>
      <c r="D37" s="21">
        <f>3519.78</f>
        <v>3519.78</v>
      </c>
      <c r="E37" s="11">
        <f t="shared" si="19"/>
        <v>3519.78</v>
      </c>
      <c r="F37" s="40" t="e">
        <f t="shared" si="1"/>
        <v>#DIV/0!</v>
      </c>
      <c r="G37" s="11">
        <f t="shared" si="20"/>
        <v>0</v>
      </c>
      <c r="H37" s="21"/>
      <c r="I37" s="21"/>
      <c r="J37" s="21"/>
      <c r="K37" s="21"/>
      <c r="L37" s="41">
        <f t="shared" si="2"/>
        <v>0</v>
      </c>
      <c r="M37" s="5"/>
    </row>
    <row r="38" spans="1:13" ht="18" customHeight="1">
      <c r="A38" s="25" t="s">
        <v>665</v>
      </c>
      <c r="B38" s="11"/>
      <c r="C38" s="21"/>
      <c r="D38" s="21"/>
      <c r="E38" s="11">
        <f t="shared" si="19"/>
        <v>0</v>
      </c>
      <c r="F38" s="40" t="e">
        <f t="shared" si="1"/>
        <v>#DIV/0!</v>
      </c>
      <c r="G38" s="11">
        <f t="shared" si="20"/>
        <v>0</v>
      </c>
      <c r="H38" s="21"/>
      <c r="I38" s="21"/>
      <c r="J38" s="21"/>
      <c r="K38" s="21"/>
      <c r="L38" s="41" t="e">
        <f t="shared" si="2"/>
        <v>#DIV/0!</v>
      </c>
      <c r="M38" s="5"/>
    </row>
    <row r="39" spans="1:13" ht="18" customHeight="1">
      <c r="A39" s="25" t="s">
        <v>666</v>
      </c>
      <c r="B39" s="11"/>
      <c r="C39" s="21"/>
      <c r="D39" s="21"/>
      <c r="E39" s="11">
        <f t="shared" si="19"/>
        <v>0</v>
      </c>
      <c r="F39" s="40" t="e">
        <f t="shared" si="1"/>
        <v>#DIV/0!</v>
      </c>
      <c r="G39" s="11">
        <f t="shared" si="20"/>
        <v>2000</v>
      </c>
      <c r="H39" s="21">
        <v>500</v>
      </c>
      <c r="I39" s="21">
        <v>500</v>
      </c>
      <c r="J39" s="21">
        <v>500</v>
      </c>
      <c r="K39" s="21">
        <v>500</v>
      </c>
      <c r="L39" s="41" t="e">
        <f t="shared" si="2"/>
        <v>#DIV/0!</v>
      </c>
      <c r="M39" s="5"/>
    </row>
    <row r="40" spans="1:13" ht="18" customHeight="1">
      <c r="A40" s="25" t="s">
        <v>667</v>
      </c>
      <c r="B40" s="26"/>
      <c r="C40" s="21"/>
      <c r="D40" s="21"/>
      <c r="E40" s="11">
        <f t="shared" si="19"/>
        <v>0</v>
      </c>
      <c r="F40" s="40" t="e">
        <f t="shared" si="1"/>
        <v>#DIV/0!</v>
      </c>
      <c r="G40" s="11">
        <f t="shared" si="20"/>
        <v>0</v>
      </c>
      <c r="H40" s="21"/>
      <c r="I40" s="21"/>
      <c r="J40" s="21"/>
      <c r="K40" s="21"/>
      <c r="L40" s="41" t="e">
        <f t="shared" si="2"/>
        <v>#DIV/0!</v>
      </c>
      <c r="M40" s="5"/>
    </row>
    <row r="41" spans="1:13" ht="18" customHeight="1">
      <c r="A41" s="25" t="s">
        <v>668</v>
      </c>
      <c r="B41" s="11"/>
      <c r="C41" s="21">
        <v>600</v>
      </c>
      <c r="D41" s="21"/>
      <c r="E41" s="11">
        <f t="shared" si="19"/>
        <v>600</v>
      </c>
      <c r="F41" s="40" t="e">
        <f t="shared" si="1"/>
        <v>#DIV/0!</v>
      </c>
      <c r="G41" s="11">
        <f t="shared" si="20"/>
        <v>0</v>
      </c>
      <c r="H41" s="21"/>
      <c r="I41" s="21"/>
      <c r="J41" s="21"/>
      <c r="K41" s="21"/>
      <c r="L41" s="41">
        <f t="shared" si="2"/>
        <v>0</v>
      </c>
      <c r="M41" s="5"/>
    </row>
    <row r="42" spans="1:13" ht="18" customHeight="1">
      <c r="A42" s="25" t="s">
        <v>669</v>
      </c>
      <c r="B42" s="11"/>
      <c r="C42" s="21">
        <v>31373.01</v>
      </c>
      <c r="D42" s="21"/>
      <c r="E42" s="11">
        <f t="shared" si="19"/>
        <v>31373.01</v>
      </c>
      <c r="F42" s="40" t="e">
        <f t="shared" si="1"/>
        <v>#DIV/0!</v>
      </c>
      <c r="G42" s="11">
        <f t="shared" si="20"/>
        <v>0</v>
      </c>
      <c r="H42" s="21"/>
      <c r="I42" s="21"/>
      <c r="J42" s="21"/>
      <c r="K42" s="21"/>
      <c r="L42" s="41">
        <f t="shared" si="2"/>
        <v>0</v>
      </c>
      <c r="M42" s="5"/>
    </row>
    <row r="43" spans="1:13" ht="18" customHeight="1">
      <c r="A43" s="25" t="s">
        <v>670</v>
      </c>
      <c r="B43" s="11">
        <f aca="true" t="shared" si="21" ref="B43:K43">SUM(B44:B46)</f>
        <v>0</v>
      </c>
      <c r="C43" s="11">
        <f t="shared" si="21"/>
        <v>18605.67</v>
      </c>
      <c r="D43" s="11">
        <f t="shared" si="21"/>
        <v>1704.85</v>
      </c>
      <c r="E43" s="11">
        <f t="shared" si="21"/>
        <v>20310.519999999997</v>
      </c>
      <c r="F43" s="40" t="e">
        <f t="shared" si="1"/>
        <v>#DIV/0!</v>
      </c>
      <c r="G43" s="11">
        <f t="shared" si="21"/>
        <v>6819.4</v>
      </c>
      <c r="H43" s="11">
        <f t="shared" si="21"/>
        <v>1704.85</v>
      </c>
      <c r="I43" s="11">
        <f t="shared" si="21"/>
        <v>1704.85</v>
      </c>
      <c r="J43" s="11">
        <f t="shared" si="21"/>
        <v>1704.85</v>
      </c>
      <c r="K43" s="11">
        <f t="shared" si="21"/>
        <v>1704.85</v>
      </c>
      <c r="L43" s="41">
        <f t="shared" si="2"/>
        <v>0.3357570362551033</v>
      </c>
      <c r="M43" s="5"/>
    </row>
    <row r="44" spans="1:13" ht="18" customHeight="1">
      <c r="A44" s="25" t="s">
        <v>671</v>
      </c>
      <c r="B44" s="11"/>
      <c r="C44" s="21">
        <v>18605.67</v>
      </c>
      <c r="D44" s="21">
        <f aca="true" t="shared" si="22" ref="D44:K44">852.44+852.41</f>
        <v>1704.85</v>
      </c>
      <c r="E44" s="11">
        <f aca="true" t="shared" si="23" ref="E44:E47">C44+D44</f>
        <v>20310.519999999997</v>
      </c>
      <c r="F44" s="40" t="e">
        <f t="shared" si="1"/>
        <v>#DIV/0!</v>
      </c>
      <c r="G44" s="11">
        <f aca="true" t="shared" si="24" ref="G44:G47">SUM(H44:K44)</f>
        <v>6819.4</v>
      </c>
      <c r="H44" s="21">
        <f t="shared" si="22"/>
        <v>1704.85</v>
      </c>
      <c r="I44" s="21">
        <f t="shared" si="22"/>
        <v>1704.85</v>
      </c>
      <c r="J44" s="21">
        <f t="shared" si="22"/>
        <v>1704.85</v>
      </c>
      <c r="K44" s="21">
        <f t="shared" si="22"/>
        <v>1704.85</v>
      </c>
      <c r="L44" s="41">
        <f t="shared" si="2"/>
        <v>0.3357570362551033</v>
      </c>
      <c r="M44" s="5"/>
    </row>
    <row r="45" spans="1:13" ht="18" customHeight="1">
      <c r="A45" s="25" t="s">
        <v>672</v>
      </c>
      <c r="B45" s="11"/>
      <c r="C45" s="12"/>
      <c r="D45" s="12"/>
      <c r="E45" s="11">
        <f t="shared" si="23"/>
        <v>0</v>
      </c>
      <c r="F45" s="40" t="e">
        <f t="shared" si="1"/>
        <v>#DIV/0!</v>
      </c>
      <c r="G45" s="11">
        <f t="shared" si="24"/>
        <v>0</v>
      </c>
      <c r="H45" s="21"/>
      <c r="I45" s="21"/>
      <c r="J45" s="21"/>
      <c r="K45" s="21"/>
      <c r="L45" s="41" t="e">
        <f t="shared" si="2"/>
        <v>#DIV/0!</v>
      </c>
      <c r="M45" s="5"/>
    </row>
    <row r="46" spans="1:13" ht="18" customHeight="1">
      <c r="A46" s="25" t="s">
        <v>673</v>
      </c>
      <c r="B46" s="11"/>
      <c r="C46" s="12"/>
      <c r="D46" s="12"/>
      <c r="E46" s="11">
        <f t="shared" si="23"/>
        <v>0</v>
      </c>
      <c r="F46" s="40" t="e">
        <f t="shared" si="1"/>
        <v>#DIV/0!</v>
      </c>
      <c r="G46" s="11">
        <f t="shared" si="24"/>
        <v>0</v>
      </c>
      <c r="H46" s="21"/>
      <c r="I46" s="21"/>
      <c r="J46" s="21"/>
      <c r="K46" s="21"/>
      <c r="L46" s="41" t="e">
        <f t="shared" si="2"/>
        <v>#DIV/0!</v>
      </c>
      <c r="M46" s="5"/>
    </row>
    <row r="47" spans="1:13" ht="18" customHeight="1">
      <c r="A47" s="109" t="s">
        <v>674</v>
      </c>
      <c r="B47" s="110">
        <v>407793.49000000005</v>
      </c>
      <c r="C47" s="112"/>
      <c r="D47" s="112"/>
      <c r="E47" s="11">
        <f t="shared" si="23"/>
        <v>0</v>
      </c>
      <c r="F47" s="40">
        <f t="shared" si="1"/>
        <v>0</v>
      </c>
      <c r="G47" s="11">
        <f t="shared" si="24"/>
        <v>26771.0282</v>
      </c>
      <c r="H47" s="112"/>
      <c r="I47" s="112"/>
      <c r="J47" s="112"/>
      <c r="K47" s="111">
        <f>(B47+E5+G5)/5*10%</f>
        <v>26771.0282</v>
      </c>
      <c r="L47" s="41" t="e">
        <f t="shared" si="2"/>
        <v>#DIV/0!</v>
      </c>
      <c r="M47" s="5"/>
    </row>
    <row r="48" spans="1:13" ht="12.75">
      <c r="A48" s="25" t="s">
        <v>628</v>
      </c>
      <c r="B48" s="11"/>
      <c r="C48" s="12"/>
      <c r="D48" s="12"/>
      <c r="E48" s="11"/>
      <c r="F48" s="40"/>
      <c r="G48" s="11">
        <f>B47+E5-E47+G5-G47</f>
        <v>1311780.3818</v>
      </c>
      <c r="H48" s="12"/>
      <c r="I48" s="12"/>
      <c r="J48" s="12"/>
      <c r="K48" s="12"/>
      <c r="L48" s="41"/>
      <c r="M48" s="113">
        <v>45261</v>
      </c>
    </row>
    <row r="49" spans="1:13" ht="12.75">
      <c r="A49" s="25"/>
      <c r="B49" s="11"/>
      <c r="C49" s="12"/>
      <c r="D49" s="12"/>
      <c r="E49" s="11"/>
      <c r="F49" s="40"/>
      <c r="G49" s="11"/>
      <c r="H49" s="12"/>
      <c r="I49" s="12"/>
      <c r="J49" s="12"/>
      <c r="K49" s="12"/>
      <c r="L49" s="41"/>
      <c r="M49" s="5" t="s">
        <v>684</v>
      </c>
    </row>
    <row r="50" spans="1:13" ht="12.75">
      <c r="A50" s="5"/>
      <c r="B50" s="5"/>
      <c r="C50" s="16"/>
      <c r="D50" s="4" t="s">
        <v>677</v>
      </c>
      <c r="E50" s="5"/>
      <c r="F50" s="5"/>
      <c r="G50" s="5"/>
      <c r="H50" s="16"/>
      <c r="I50" s="4" t="s">
        <v>678</v>
      </c>
      <c r="J50" s="5"/>
      <c r="K50" s="5"/>
      <c r="L50" s="5"/>
      <c r="M50" s="5"/>
    </row>
  </sheetData>
  <sheetProtection/>
  <mergeCells count="6">
    <mergeCell ref="A1:M1"/>
    <mergeCell ref="B3:F3"/>
    <mergeCell ref="G3:K3"/>
    <mergeCell ref="A3:A4"/>
    <mergeCell ref="L3:L4"/>
    <mergeCell ref="M3:M4"/>
  </mergeCells>
  <printOptions/>
  <pageMargins left="1.18" right="0.19" top="0.55" bottom="0.39" header="0.28" footer="0.16"/>
  <pageSetup fitToHeight="1" fitToWidth="1" horizontalDpi="300" verticalDpi="300" orientation="landscape" paperSize="9" scale="76"/>
  <legacyDrawing r:id="rId2"/>
</worksheet>
</file>

<file path=xl/worksheets/sheet21.xml><?xml version="1.0" encoding="utf-8"?>
<worksheet xmlns="http://schemas.openxmlformats.org/spreadsheetml/2006/main" xmlns:r="http://schemas.openxmlformats.org/officeDocument/2006/relationships">
  <sheetPr>
    <pageSetUpPr fitToPage="1"/>
  </sheetPr>
  <dimension ref="A1:M50"/>
  <sheetViews>
    <sheetView workbookViewId="0" topLeftCell="A1">
      <selection activeCell="A2" sqref="A2"/>
    </sheetView>
  </sheetViews>
  <sheetFormatPr defaultColWidth="9.140625" defaultRowHeight="12.75"/>
  <cols>
    <col min="1" max="1" width="30.28125" style="0" customWidth="1"/>
    <col min="2" max="2" width="13.140625" style="0" customWidth="1"/>
    <col min="3" max="3" width="10.7109375" style="0" customWidth="1"/>
    <col min="4" max="4" width="11.7109375" style="0" customWidth="1"/>
    <col min="5" max="6" width="10.7109375" style="0" customWidth="1"/>
    <col min="7" max="11" width="13.7109375" style="0" customWidth="1"/>
    <col min="12" max="13" width="10.7109375" style="0" customWidth="1"/>
  </cols>
  <sheetData>
    <row r="1" spans="1:13" ht="25.5" customHeight="1">
      <c r="A1" s="105" t="s">
        <v>685</v>
      </c>
      <c r="B1" s="23"/>
      <c r="C1" s="23" t="s">
        <v>598</v>
      </c>
      <c r="D1" s="23" t="s">
        <v>598</v>
      </c>
      <c r="E1" s="23" t="s">
        <v>598</v>
      </c>
      <c r="F1" s="23"/>
      <c r="G1" s="23" t="s">
        <v>598</v>
      </c>
      <c r="H1" s="23" t="s">
        <v>598</v>
      </c>
      <c r="I1" s="23" t="s">
        <v>598</v>
      </c>
      <c r="J1" s="23" t="s">
        <v>598</v>
      </c>
      <c r="K1" s="23" t="s">
        <v>598</v>
      </c>
      <c r="L1" s="23" t="s">
        <v>598</v>
      </c>
      <c r="M1" s="23" t="s">
        <v>598</v>
      </c>
    </row>
    <row r="2" spans="1:13" ht="18" customHeight="1">
      <c r="A2" s="106" t="s">
        <v>364</v>
      </c>
      <c r="B2" s="107"/>
      <c r="C2" s="45"/>
      <c r="D2" s="46"/>
      <c r="E2" s="47"/>
      <c r="F2" s="55"/>
      <c r="G2" s="24" t="s">
        <v>288</v>
      </c>
      <c r="H2" s="5"/>
      <c r="I2" s="5"/>
      <c r="J2" s="5"/>
      <c r="K2" s="5"/>
      <c r="L2" s="16" t="s">
        <v>599</v>
      </c>
      <c r="M2" s="5"/>
    </row>
    <row r="3" spans="1:13" ht="18" customHeight="1">
      <c r="A3" s="18" t="s">
        <v>290</v>
      </c>
      <c r="B3" s="90" t="s">
        <v>366</v>
      </c>
      <c r="C3" s="38"/>
      <c r="D3" s="38"/>
      <c r="E3" s="38"/>
      <c r="F3" s="39"/>
      <c r="G3" s="9" t="s">
        <v>292</v>
      </c>
      <c r="H3" s="9"/>
      <c r="I3" s="9" t="s">
        <v>292</v>
      </c>
      <c r="J3" s="9" t="s">
        <v>292</v>
      </c>
      <c r="K3" s="9" t="s">
        <v>292</v>
      </c>
      <c r="L3" s="9" t="s">
        <v>293</v>
      </c>
      <c r="M3" s="18" t="s">
        <v>33</v>
      </c>
    </row>
    <row r="4" spans="1:13" ht="18" customHeight="1">
      <c r="A4" s="18"/>
      <c r="B4" s="9" t="s">
        <v>294</v>
      </c>
      <c r="C4" s="9" t="s">
        <v>463</v>
      </c>
      <c r="D4" s="9" t="s">
        <v>296</v>
      </c>
      <c r="E4" s="9" t="s">
        <v>464</v>
      </c>
      <c r="F4" s="9" t="s">
        <v>299</v>
      </c>
      <c r="G4" s="9" t="s">
        <v>314</v>
      </c>
      <c r="H4" s="9" t="s">
        <v>324</v>
      </c>
      <c r="I4" s="9" t="s">
        <v>331</v>
      </c>
      <c r="J4" s="9" t="s">
        <v>334</v>
      </c>
      <c r="K4" s="9" t="s">
        <v>336</v>
      </c>
      <c r="L4" s="9" t="s">
        <v>293</v>
      </c>
      <c r="M4" s="18" t="s">
        <v>33</v>
      </c>
    </row>
    <row r="5" spans="1:13" ht="18" customHeight="1">
      <c r="A5" s="25" t="s">
        <v>632</v>
      </c>
      <c r="B5" s="11">
        <f aca="true" t="shared" si="0" ref="B5:K5">B6+B32+B43</f>
        <v>0</v>
      </c>
      <c r="C5" s="11">
        <f t="shared" si="0"/>
        <v>105445.06</v>
      </c>
      <c r="D5" s="11">
        <f t="shared" si="0"/>
        <v>9327</v>
      </c>
      <c r="E5" s="11">
        <f t="shared" si="0"/>
        <v>114772.06</v>
      </c>
      <c r="F5" s="40" t="e">
        <f aca="true" t="shared" si="1" ref="F5:F47">E5/B5</f>
        <v>#DIV/0!</v>
      </c>
      <c r="G5" s="11">
        <f t="shared" si="0"/>
        <v>14800</v>
      </c>
      <c r="H5" s="11">
        <f t="shared" si="0"/>
        <v>6300</v>
      </c>
      <c r="I5" s="11">
        <f t="shared" si="0"/>
        <v>8500</v>
      </c>
      <c r="J5" s="11">
        <f t="shared" si="0"/>
        <v>0</v>
      </c>
      <c r="K5" s="11">
        <f t="shared" si="0"/>
        <v>0</v>
      </c>
      <c r="L5" s="41">
        <f aca="true" t="shared" si="2" ref="L5:L47">G5/E5</f>
        <v>0.12895124475416753</v>
      </c>
      <c r="M5" s="5"/>
    </row>
    <row r="6" spans="1:13" ht="18" customHeight="1">
      <c r="A6" s="25" t="s">
        <v>633</v>
      </c>
      <c r="B6" s="11">
        <f aca="true" t="shared" si="3" ref="B6:K6">B7+B26+B27</f>
        <v>0</v>
      </c>
      <c r="C6" s="11">
        <f t="shared" si="3"/>
        <v>88350.06</v>
      </c>
      <c r="D6" s="11">
        <f t="shared" si="3"/>
        <v>9327</v>
      </c>
      <c r="E6" s="11">
        <f t="shared" si="3"/>
        <v>97677.06</v>
      </c>
      <c r="F6" s="40" t="e">
        <f t="shared" si="1"/>
        <v>#DIV/0!</v>
      </c>
      <c r="G6" s="11">
        <f t="shared" si="3"/>
        <v>14800</v>
      </c>
      <c r="H6" s="11">
        <f t="shared" si="3"/>
        <v>6300</v>
      </c>
      <c r="I6" s="11">
        <f t="shared" si="3"/>
        <v>8500</v>
      </c>
      <c r="J6" s="11">
        <f t="shared" si="3"/>
        <v>0</v>
      </c>
      <c r="K6" s="11">
        <f t="shared" si="3"/>
        <v>0</v>
      </c>
      <c r="L6" s="41">
        <f t="shared" si="2"/>
        <v>0.15151971199788364</v>
      </c>
      <c r="M6" s="5"/>
    </row>
    <row r="7" spans="1:13" ht="18" customHeight="1">
      <c r="A7" s="72" t="s">
        <v>634</v>
      </c>
      <c r="B7" s="11">
        <f aca="true" t="shared" si="4" ref="B7:K7">B8+B16+B20+B23+B24+B25</f>
        <v>0</v>
      </c>
      <c r="C7" s="11">
        <f t="shared" si="4"/>
        <v>0</v>
      </c>
      <c r="D7" s="11">
        <f t="shared" si="4"/>
        <v>0</v>
      </c>
      <c r="E7" s="11">
        <f t="shared" si="4"/>
        <v>0</v>
      </c>
      <c r="F7" s="40" t="e">
        <f t="shared" si="1"/>
        <v>#DIV/0!</v>
      </c>
      <c r="G7" s="11">
        <f t="shared" si="4"/>
        <v>0</v>
      </c>
      <c r="H7" s="11">
        <f t="shared" si="4"/>
        <v>0</v>
      </c>
      <c r="I7" s="11">
        <f t="shared" si="4"/>
        <v>0</v>
      </c>
      <c r="J7" s="11">
        <f t="shared" si="4"/>
        <v>0</v>
      </c>
      <c r="K7" s="11">
        <f t="shared" si="4"/>
        <v>0</v>
      </c>
      <c r="L7" s="41" t="e">
        <f t="shared" si="2"/>
        <v>#DIV/0!</v>
      </c>
      <c r="M7" s="5"/>
    </row>
    <row r="8" spans="1:13" ht="18" customHeight="1">
      <c r="A8" s="72" t="s">
        <v>635</v>
      </c>
      <c r="B8" s="11">
        <f aca="true" t="shared" si="5" ref="B8:K8">B9+B10+B14+B15</f>
        <v>0</v>
      </c>
      <c r="C8" s="11">
        <f t="shared" si="5"/>
        <v>0</v>
      </c>
      <c r="D8" s="11">
        <f t="shared" si="5"/>
        <v>0</v>
      </c>
      <c r="E8" s="11">
        <f t="shared" si="5"/>
        <v>0</v>
      </c>
      <c r="F8" s="40" t="e">
        <f t="shared" si="1"/>
        <v>#DIV/0!</v>
      </c>
      <c r="G8" s="11">
        <f t="shared" si="5"/>
        <v>0</v>
      </c>
      <c r="H8" s="11">
        <f t="shared" si="5"/>
        <v>0</v>
      </c>
      <c r="I8" s="11">
        <f t="shared" si="5"/>
        <v>0</v>
      </c>
      <c r="J8" s="11">
        <f t="shared" si="5"/>
        <v>0</v>
      </c>
      <c r="K8" s="11">
        <f t="shared" si="5"/>
        <v>0</v>
      </c>
      <c r="L8" s="41" t="e">
        <f t="shared" si="2"/>
        <v>#DIV/0!</v>
      </c>
      <c r="M8" s="5"/>
    </row>
    <row r="9" spans="1:13" ht="18" customHeight="1">
      <c r="A9" s="72" t="s">
        <v>636</v>
      </c>
      <c r="B9" s="11"/>
      <c r="C9" s="15"/>
      <c r="D9" s="12"/>
      <c r="E9" s="11">
        <f aca="true" t="shared" si="6" ref="E9:E15">C9+D9</f>
        <v>0</v>
      </c>
      <c r="F9" s="40" t="e">
        <f t="shared" si="1"/>
        <v>#DIV/0!</v>
      </c>
      <c r="G9" s="11">
        <f aca="true" t="shared" si="7" ref="G9:G15">SUM(H9:K9)</f>
        <v>0</v>
      </c>
      <c r="H9" s="12"/>
      <c r="I9" s="12"/>
      <c r="J9" s="12"/>
      <c r="K9" s="12"/>
      <c r="L9" s="41" t="e">
        <f t="shared" si="2"/>
        <v>#DIV/0!</v>
      </c>
      <c r="M9" s="5"/>
    </row>
    <row r="10" spans="1:13" ht="18" customHeight="1">
      <c r="A10" s="72" t="s">
        <v>637</v>
      </c>
      <c r="B10" s="11">
        <f aca="true" t="shared" si="8" ref="B10:K10">SUM(B11:B13)</f>
        <v>0</v>
      </c>
      <c r="C10" s="11">
        <f t="shared" si="8"/>
        <v>0</v>
      </c>
      <c r="D10" s="11">
        <f t="shared" si="8"/>
        <v>0</v>
      </c>
      <c r="E10" s="11">
        <f t="shared" si="8"/>
        <v>0</v>
      </c>
      <c r="F10" s="40" t="e">
        <f t="shared" si="1"/>
        <v>#DIV/0!</v>
      </c>
      <c r="G10" s="11">
        <f t="shared" si="8"/>
        <v>0</v>
      </c>
      <c r="H10" s="11">
        <f t="shared" si="8"/>
        <v>0</v>
      </c>
      <c r="I10" s="11">
        <f t="shared" si="8"/>
        <v>0</v>
      </c>
      <c r="J10" s="11">
        <f t="shared" si="8"/>
        <v>0</v>
      </c>
      <c r="K10" s="11">
        <f t="shared" si="8"/>
        <v>0</v>
      </c>
      <c r="L10" s="41" t="e">
        <f t="shared" si="2"/>
        <v>#DIV/0!</v>
      </c>
      <c r="M10" s="5"/>
    </row>
    <row r="11" spans="1:13" ht="18" customHeight="1">
      <c r="A11" s="75" t="s">
        <v>638</v>
      </c>
      <c r="B11" s="11"/>
      <c r="C11" s="15"/>
      <c r="D11" s="12"/>
      <c r="E11" s="11">
        <f t="shared" si="6"/>
        <v>0</v>
      </c>
      <c r="F11" s="40" t="e">
        <f t="shared" si="1"/>
        <v>#DIV/0!</v>
      </c>
      <c r="G11" s="11">
        <f t="shared" si="7"/>
        <v>0</v>
      </c>
      <c r="H11" s="12"/>
      <c r="I11" s="12"/>
      <c r="J11" s="12"/>
      <c r="K11" s="12"/>
      <c r="L11" s="41" t="e">
        <f t="shared" si="2"/>
        <v>#DIV/0!</v>
      </c>
      <c r="M11" s="5"/>
    </row>
    <row r="12" spans="1:13" ht="18" customHeight="1">
      <c r="A12" s="75" t="s">
        <v>639</v>
      </c>
      <c r="B12" s="11"/>
      <c r="C12" s="15"/>
      <c r="D12" s="12"/>
      <c r="E12" s="11">
        <f t="shared" si="6"/>
        <v>0</v>
      </c>
      <c r="F12" s="40" t="e">
        <f t="shared" si="1"/>
        <v>#DIV/0!</v>
      </c>
      <c r="G12" s="11">
        <f t="shared" si="7"/>
        <v>0</v>
      </c>
      <c r="H12" s="12"/>
      <c r="I12" s="12"/>
      <c r="J12" s="12"/>
      <c r="K12" s="12"/>
      <c r="L12" s="41" t="e">
        <f t="shared" si="2"/>
        <v>#DIV/0!</v>
      </c>
      <c r="M12" s="5"/>
    </row>
    <row r="13" spans="1:13" ht="18" customHeight="1">
      <c r="A13" s="75" t="s">
        <v>640</v>
      </c>
      <c r="B13" s="11"/>
      <c r="C13" s="15"/>
      <c r="D13" s="12"/>
      <c r="E13" s="11">
        <f t="shared" si="6"/>
        <v>0</v>
      </c>
      <c r="F13" s="40" t="e">
        <f t="shared" si="1"/>
        <v>#DIV/0!</v>
      </c>
      <c r="G13" s="11">
        <f t="shared" si="7"/>
        <v>0</v>
      </c>
      <c r="H13" s="12"/>
      <c r="I13" s="12"/>
      <c r="J13" s="12"/>
      <c r="K13" s="12"/>
      <c r="L13" s="41" t="e">
        <f t="shared" si="2"/>
        <v>#DIV/0!</v>
      </c>
      <c r="M13" s="5"/>
    </row>
    <row r="14" spans="1:13" ht="18" customHeight="1">
      <c r="A14" s="72" t="s">
        <v>641</v>
      </c>
      <c r="B14" s="11"/>
      <c r="C14" s="15"/>
      <c r="D14" s="12"/>
      <c r="E14" s="11">
        <f t="shared" si="6"/>
        <v>0</v>
      </c>
      <c r="F14" s="40" t="e">
        <f t="shared" si="1"/>
        <v>#DIV/0!</v>
      </c>
      <c r="G14" s="11">
        <f t="shared" si="7"/>
        <v>0</v>
      </c>
      <c r="H14" s="12"/>
      <c r="I14" s="12"/>
      <c r="J14" s="12"/>
      <c r="K14" s="12"/>
      <c r="L14" s="41" t="e">
        <f t="shared" si="2"/>
        <v>#DIV/0!</v>
      </c>
      <c r="M14" s="5"/>
    </row>
    <row r="15" spans="1:13" ht="18" customHeight="1">
      <c r="A15" s="72" t="s">
        <v>642</v>
      </c>
      <c r="B15" s="11"/>
      <c r="C15" s="15"/>
      <c r="D15" s="12"/>
      <c r="E15" s="11">
        <f t="shared" si="6"/>
        <v>0</v>
      </c>
      <c r="F15" s="40" t="e">
        <f t="shared" si="1"/>
        <v>#DIV/0!</v>
      </c>
      <c r="G15" s="11">
        <f t="shared" si="7"/>
        <v>0</v>
      </c>
      <c r="H15" s="12"/>
      <c r="I15" s="12"/>
      <c r="J15" s="12"/>
      <c r="K15" s="12"/>
      <c r="L15" s="41" t="e">
        <f t="shared" si="2"/>
        <v>#DIV/0!</v>
      </c>
      <c r="M15" s="5"/>
    </row>
    <row r="16" spans="1:13" ht="18" customHeight="1">
      <c r="A16" s="72" t="s">
        <v>643</v>
      </c>
      <c r="B16" s="11">
        <f aca="true" t="shared" si="9" ref="B16:K16">SUM(B17:B19)</f>
        <v>0</v>
      </c>
      <c r="C16" s="11">
        <f t="shared" si="9"/>
        <v>0</v>
      </c>
      <c r="D16" s="11">
        <f t="shared" si="9"/>
        <v>0</v>
      </c>
      <c r="E16" s="11">
        <f t="shared" si="9"/>
        <v>0</v>
      </c>
      <c r="F16" s="40" t="e">
        <f t="shared" si="1"/>
        <v>#DIV/0!</v>
      </c>
      <c r="G16" s="11">
        <f t="shared" si="9"/>
        <v>0</v>
      </c>
      <c r="H16" s="11">
        <f t="shared" si="9"/>
        <v>0</v>
      </c>
      <c r="I16" s="11">
        <f t="shared" si="9"/>
        <v>0</v>
      </c>
      <c r="J16" s="11">
        <f t="shared" si="9"/>
        <v>0</v>
      </c>
      <c r="K16" s="11">
        <f t="shared" si="9"/>
        <v>0</v>
      </c>
      <c r="L16" s="41" t="e">
        <f t="shared" si="2"/>
        <v>#DIV/0!</v>
      </c>
      <c r="M16" s="5"/>
    </row>
    <row r="17" spans="1:13" ht="18" customHeight="1">
      <c r="A17" s="72" t="s">
        <v>644</v>
      </c>
      <c r="B17" s="11"/>
      <c r="C17" s="15"/>
      <c r="D17" s="12"/>
      <c r="E17" s="11">
        <f aca="true" t="shared" si="10" ref="E17:E19">C17+D17</f>
        <v>0</v>
      </c>
      <c r="F17" s="40" t="e">
        <f t="shared" si="1"/>
        <v>#DIV/0!</v>
      </c>
      <c r="G17" s="11">
        <f aca="true" t="shared" si="11" ref="G17:G19">SUM(H17:K17)</f>
        <v>0</v>
      </c>
      <c r="H17" s="12"/>
      <c r="I17" s="12"/>
      <c r="J17" s="12"/>
      <c r="K17" s="12"/>
      <c r="L17" s="41" t="e">
        <f t="shared" si="2"/>
        <v>#DIV/0!</v>
      </c>
      <c r="M17" s="5"/>
    </row>
    <row r="18" spans="1:13" ht="18" customHeight="1">
      <c r="A18" s="72" t="s">
        <v>645</v>
      </c>
      <c r="B18" s="11"/>
      <c r="C18" s="15"/>
      <c r="D18" s="12"/>
      <c r="E18" s="11">
        <f t="shared" si="10"/>
        <v>0</v>
      </c>
      <c r="F18" s="40" t="e">
        <f t="shared" si="1"/>
        <v>#DIV/0!</v>
      </c>
      <c r="G18" s="11">
        <f t="shared" si="11"/>
        <v>0</v>
      </c>
      <c r="H18" s="12"/>
      <c r="I18" s="12"/>
      <c r="J18" s="12"/>
      <c r="K18" s="12"/>
      <c r="L18" s="41" t="e">
        <f t="shared" si="2"/>
        <v>#DIV/0!</v>
      </c>
      <c r="M18" s="5"/>
    </row>
    <row r="19" spans="1:13" ht="18" customHeight="1">
      <c r="A19" s="72" t="s">
        <v>646</v>
      </c>
      <c r="B19" s="11"/>
      <c r="C19" s="15"/>
      <c r="D19" s="12"/>
      <c r="E19" s="11">
        <f t="shared" si="10"/>
        <v>0</v>
      </c>
      <c r="F19" s="40" t="e">
        <f t="shared" si="1"/>
        <v>#DIV/0!</v>
      </c>
      <c r="G19" s="11">
        <f t="shared" si="11"/>
        <v>0</v>
      </c>
      <c r="H19" s="12"/>
      <c r="I19" s="12"/>
      <c r="J19" s="12"/>
      <c r="K19" s="12"/>
      <c r="L19" s="41" t="e">
        <f t="shared" si="2"/>
        <v>#DIV/0!</v>
      </c>
      <c r="M19" s="5"/>
    </row>
    <row r="20" spans="1:13" ht="18" customHeight="1">
      <c r="A20" s="72" t="s">
        <v>647</v>
      </c>
      <c r="B20" s="11">
        <f aca="true" t="shared" si="12" ref="B20:K20">SUM(B21:B22)</f>
        <v>0</v>
      </c>
      <c r="C20" s="11">
        <f t="shared" si="12"/>
        <v>0</v>
      </c>
      <c r="D20" s="11">
        <f t="shared" si="12"/>
        <v>0</v>
      </c>
      <c r="E20" s="11">
        <f t="shared" si="12"/>
        <v>0</v>
      </c>
      <c r="F20" s="40" t="e">
        <f t="shared" si="1"/>
        <v>#DIV/0!</v>
      </c>
      <c r="G20" s="11">
        <f t="shared" si="12"/>
        <v>0</v>
      </c>
      <c r="H20" s="11">
        <f t="shared" si="12"/>
        <v>0</v>
      </c>
      <c r="I20" s="11">
        <f t="shared" si="12"/>
        <v>0</v>
      </c>
      <c r="J20" s="11">
        <f t="shared" si="12"/>
        <v>0</v>
      </c>
      <c r="K20" s="11">
        <f t="shared" si="12"/>
        <v>0</v>
      </c>
      <c r="L20" s="41" t="e">
        <f t="shared" si="2"/>
        <v>#DIV/0!</v>
      </c>
      <c r="M20" s="5"/>
    </row>
    <row r="21" spans="1:13" ht="18" customHeight="1">
      <c r="A21" s="72" t="s">
        <v>648</v>
      </c>
      <c r="B21" s="11"/>
      <c r="C21" s="15"/>
      <c r="D21" s="12"/>
      <c r="E21" s="11">
        <f aca="true" t="shared" si="13" ref="E21:E26">C21+D21</f>
        <v>0</v>
      </c>
      <c r="F21" s="40" t="e">
        <f t="shared" si="1"/>
        <v>#DIV/0!</v>
      </c>
      <c r="G21" s="11">
        <f aca="true" t="shared" si="14" ref="G21:G26">SUM(H21:K21)</f>
        <v>0</v>
      </c>
      <c r="H21" s="12"/>
      <c r="I21" s="12"/>
      <c r="J21" s="12"/>
      <c r="K21" s="12"/>
      <c r="L21" s="41" t="e">
        <f t="shared" si="2"/>
        <v>#DIV/0!</v>
      </c>
      <c r="M21" s="5"/>
    </row>
    <row r="22" spans="1:13" ht="18" customHeight="1">
      <c r="A22" s="72" t="s">
        <v>649</v>
      </c>
      <c r="B22" s="11"/>
      <c r="C22" s="15"/>
      <c r="D22" s="12"/>
      <c r="E22" s="11">
        <f t="shared" si="13"/>
        <v>0</v>
      </c>
      <c r="F22" s="40" t="e">
        <f t="shared" si="1"/>
        <v>#DIV/0!</v>
      </c>
      <c r="G22" s="11">
        <f t="shared" si="14"/>
        <v>0</v>
      </c>
      <c r="H22" s="21"/>
      <c r="I22" s="21"/>
      <c r="J22" s="21"/>
      <c r="K22" s="21"/>
      <c r="L22" s="41" t="e">
        <f t="shared" si="2"/>
        <v>#DIV/0!</v>
      </c>
      <c r="M22" s="5"/>
    </row>
    <row r="23" spans="1:13" ht="18" customHeight="1">
      <c r="A23" s="72" t="s">
        <v>650</v>
      </c>
      <c r="B23" s="11"/>
      <c r="C23" s="15"/>
      <c r="D23" s="12"/>
      <c r="E23" s="11">
        <f t="shared" si="13"/>
        <v>0</v>
      </c>
      <c r="F23" s="40" t="e">
        <f t="shared" si="1"/>
        <v>#DIV/0!</v>
      </c>
      <c r="G23" s="11">
        <f t="shared" si="14"/>
        <v>0</v>
      </c>
      <c r="H23" s="21"/>
      <c r="I23" s="21"/>
      <c r="J23" s="21"/>
      <c r="K23" s="21"/>
      <c r="L23" s="41" t="e">
        <f t="shared" si="2"/>
        <v>#DIV/0!</v>
      </c>
      <c r="M23" s="5"/>
    </row>
    <row r="24" spans="1:13" ht="18" customHeight="1">
      <c r="A24" s="72" t="s">
        <v>651</v>
      </c>
      <c r="B24" s="11"/>
      <c r="C24" s="15"/>
      <c r="D24" s="12"/>
      <c r="E24" s="11">
        <f t="shared" si="13"/>
        <v>0</v>
      </c>
      <c r="F24" s="40" t="e">
        <f t="shared" si="1"/>
        <v>#DIV/0!</v>
      </c>
      <c r="G24" s="11">
        <f t="shared" si="14"/>
        <v>0</v>
      </c>
      <c r="H24" s="21"/>
      <c r="I24" s="21"/>
      <c r="J24" s="21"/>
      <c r="K24" s="21"/>
      <c r="L24" s="41" t="e">
        <f t="shared" si="2"/>
        <v>#DIV/0!</v>
      </c>
      <c r="M24" s="5"/>
    </row>
    <row r="25" spans="1:13" ht="18" customHeight="1">
      <c r="A25" s="72" t="s">
        <v>652</v>
      </c>
      <c r="B25" s="11"/>
      <c r="C25" s="15"/>
      <c r="D25" s="12"/>
      <c r="E25" s="11">
        <f t="shared" si="13"/>
        <v>0</v>
      </c>
      <c r="F25" s="40" t="e">
        <f t="shared" si="1"/>
        <v>#DIV/0!</v>
      </c>
      <c r="G25" s="11">
        <f t="shared" si="14"/>
        <v>0</v>
      </c>
      <c r="H25" s="21"/>
      <c r="I25" s="21"/>
      <c r="J25" s="21"/>
      <c r="K25" s="21"/>
      <c r="L25" s="41" t="e">
        <f t="shared" si="2"/>
        <v>#DIV/0!</v>
      </c>
      <c r="M25" s="5"/>
    </row>
    <row r="26" spans="1:13" ht="18" customHeight="1">
      <c r="A26" s="108" t="s">
        <v>653</v>
      </c>
      <c r="B26" s="11"/>
      <c r="C26" s="11">
        <v>43098</v>
      </c>
      <c r="D26" s="21">
        <f>3102+6225</f>
        <v>9327</v>
      </c>
      <c r="E26" s="11">
        <f t="shared" si="13"/>
        <v>52425</v>
      </c>
      <c r="F26" s="40" t="e">
        <f t="shared" si="1"/>
        <v>#DIV/0!</v>
      </c>
      <c r="G26" s="11">
        <f t="shared" si="14"/>
        <v>11600</v>
      </c>
      <c r="H26" s="21">
        <v>3100</v>
      </c>
      <c r="I26" s="21">
        <v>8500</v>
      </c>
      <c r="J26" s="21"/>
      <c r="K26" s="21"/>
      <c r="L26" s="41">
        <f t="shared" si="2"/>
        <v>0.22126847877920838</v>
      </c>
      <c r="M26" s="5"/>
    </row>
    <row r="27" spans="1:13" ht="18" customHeight="1">
      <c r="A27" s="108" t="s">
        <v>654</v>
      </c>
      <c r="B27" s="11">
        <f aca="true" t="shared" si="15" ref="B27:K27">SUM(B28:B31)</f>
        <v>0</v>
      </c>
      <c r="C27" s="11">
        <f t="shared" si="15"/>
        <v>45252.06</v>
      </c>
      <c r="D27" s="11">
        <f t="shared" si="15"/>
        <v>0</v>
      </c>
      <c r="E27" s="11">
        <f t="shared" si="15"/>
        <v>45252.06</v>
      </c>
      <c r="F27" s="40" t="e">
        <f t="shared" si="1"/>
        <v>#DIV/0!</v>
      </c>
      <c r="G27" s="11">
        <f t="shared" si="15"/>
        <v>3200</v>
      </c>
      <c r="H27" s="11">
        <f t="shared" si="15"/>
        <v>3200</v>
      </c>
      <c r="I27" s="11">
        <f t="shared" si="15"/>
        <v>0</v>
      </c>
      <c r="J27" s="11">
        <f t="shared" si="15"/>
        <v>0</v>
      </c>
      <c r="K27" s="11">
        <f t="shared" si="15"/>
        <v>0</v>
      </c>
      <c r="L27" s="41">
        <f t="shared" si="2"/>
        <v>0.07071501275301058</v>
      </c>
      <c r="M27" s="5"/>
    </row>
    <row r="28" spans="1:13" ht="18" customHeight="1">
      <c r="A28" s="108" t="s">
        <v>655</v>
      </c>
      <c r="B28" s="11"/>
      <c r="C28" s="11"/>
      <c r="D28" s="21"/>
      <c r="E28" s="11">
        <f aca="true" t="shared" si="16" ref="E28:E31">C28+D28</f>
        <v>0</v>
      </c>
      <c r="F28" s="40" t="e">
        <f t="shared" si="1"/>
        <v>#DIV/0!</v>
      </c>
      <c r="G28" s="11">
        <f aca="true" t="shared" si="17" ref="G28:G31">SUM(H28:K28)</f>
        <v>0</v>
      </c>
      <c r="H28" s="21"/>
      <c r="I28" s="21"/>
      <c r="J28" s="21"/>
      <c r="K28" s="21"/>
      <c r="L28" s="41" t="e">
        <f t="shared" si="2"/>
        <v>#DIV/0!</v>
      </c>
      <c r="M28" s="5"/>
    </row>
    <row r="29" spans="1:13" ht="18" customHeight="1">
      <c r="A29" s="108" t="s">
        <v>656</v>
      </c>
      <c r="B29" s="11"/>
      <c r="C29" s="11">
        <v>32818.06</v>
      </c>
      <c r="D29" s="21"/>
      <c r="E29" s="11">
        <f t="shared" si="16"/>
        <v>32818.06</v>
      </c>
      <c r="F29" s="40" t="e">
        <f t="shared" si="1"/>
        <v>#DIV/0!</v>
      </c>
      <c r="G29" s="11">
        <f t="shared" si="17"/>
        <v>0</v>
      </c>
      <c r="H29" s="21"/>
      <c r="I29" s="21"/>
      <c r="J29" s="21"/>
      <c r="K29" s="21"/>
      <c r="L29" s="41">
        <f t="shared" si="2"/>
        <v>0</v>
      </c>
      <c r="M29" s="5"/>
    </row>
    <row r="30" spans="1:13" ht="18" customHeight="1">
      <c r="A30" s="108" t="s">
        <v>657</v>
      </c>
      <c r="B30" s="11"/>
      <c r="C30" s="11">
        <v>12434</v>
      </c>
      <c r="D30" s="21"/>
      <c r="E30" s="11">
        <f t="shared" si="16"/>
        <v>12434</v>
      </c>
      <c r="F30" s="40" t="e">
        <f t="shared" si="1"/>
        <v>#DIV/0!</v>
      </c>
      <c r="G30" s="11">
        <f t="shared" si="17"/>
        <v>0</v>
      </c>
      <c r="H30" s="21"/>
      <c r="I30" s="21"/>
      <c r="J30" s="21"/>
      <c r="K30" s="21"/>
      <c r="L30" s="41">
        <f t="shared" si="2"/>
        <v>0</v>
      </c>
      <c r="M30" s="5"/>
    </row>
    <row r="31" spans="1:13" ht="18" customHeight="1">
      <c r="A31" s="108" t="s">
        <v>658</v>
      </c>
      <c r="B31" s="11"/>
      <c r="C31" s="11"/>
      <c r="D31" s="21"/>
      <c r="E31" s="11">
        <f t="shared" si="16"/>
        <v>0</v>
      </c>
      <c r="F31" s="40" t="e">
        <f t="shared" si="1"/>
        <v>#DIV/0!</v>
      </c>
      <c r="G31" s="11">
        <f t="shared" si="17"/>
        <v>3200</v>
      </c>
      <c r="H31" s="21">
        <v>3200</v>
      </c>
      <c r="I31" s="21"/>
      <c r="J31" s="21"/>
      <c r="K31" s="21"/>
      <c r="L31" s="41" t="e">
        <f t="shared" si="2"/>
        <v>#DIV/0!</v>
      </c>
      <c r="M31" s="5"/>
    </row>
    <row r="32" spans="1:13" ht="18" customHeight="1">
      <c r="A32" s="25" t="s">
        <v>659</v>
      </c>
      <c r="B32" s="26">
        <f aca="true" t="shared" si="18" ref="B32:K32">SUM(B33:B42)</f>
        <v>0</v>
      </c>
      <c r="C32" s="26">
        <f t="shared" si="18"/>
        <v>17095</v>
      </c>
      <c r="D32" s="26">
        <f t="shared" si="18"/>
        <v>0</v>
      </c>
      <c r="E32" s="26">
        <f t="shared" si="18"/>
        <v>17095</v>
      </c>
      <c r="F32" s="40" t="e">
        <f t="shared" si="1"/>
        <v>#DIV/0!</v>
      </c>
      <c r="G32" s="26">
        <f t="shared" si="18"/>
        <v>0</v>
      </c>
      <c r="H32" s="26">
        <f t="shared" si="18"/>
        <v>0</v>
      </c>
      <c r="I32" s="26">
        <f t="shared" si="18"/>
        <v>0</v>
      </c>
      <c r="J32" s="26">
        <f t="shared" si="18"/>
        <v>0</v>
      </c>
      <c r="K32" s="26">
        <f t="shared" si="18"/>
        <v>0</v>
      </c>
      <c r="L32" s="41">
        <f t="shared" si="2"/>
        <v>0</v>
      </c>
      <c r="M32" s="5"/>
    </row>
    <row r="33" spans="1:13" ht="18" customHeight="1">
      <c r="A33" s="25" t="s">
        <v>660</v>
      </c>
      <c r="B33" s="11"/>
      <c r="C33" s="12"/>
      <c r="D33" s="12"/>
      <c r="E33" s="11">
        <f aca="true" t="shared" si="19" ref="E33:E42">C33+D33</f>
        <v>0</v>
      </c>
      <c r="F33" s="40" t="e">
        <f t="shared" si="1"/>
        <v>#DIV/0!</v>
      </c>
      <c r="G33" s="11">
        <f aca="true" t="shared" si="20" ref="G33:G42">SUM(H33:K33)</f>
        <v>0</v>
      </c>
      <c r="H33" s="21"/>
      <c r="I33" s="21"/>
      <c r="J33" s="21"/>
      <c r="K33" s="21"/>
      <c r="L33" s="41" t="e">
        <f t="shared" si="2"/>
        <v>#DIV/0!</v>
      </c>
      <c r="M33" s="5"/>
    </row>
    <row r="34" spans="1:13" ht="18" customHeight="1">
      <c r="A34" s="25" t="s">
        <v>661</v>
      </c>
      <c r="B34" s="11"/>
      <c r="C34" s="12"/>
      <c r="D34" s="12"/>
      <c r="E34" s="11">
        <f t="shared" si="19"/>
        <v>0</v>
      </c>
      <c r="F34" s="40" t="e">
        <f t="shared" si="1"/>
        <v>#DIV/0!</v>
      </c>
      <c r="G34" s="11">
        <f t="shared" si="20"/>
        <v>0</v>
      </c>
      <c r="H34" s="21"/>
      <c r="I34" s="21"/>
      <c r="J34" s="21"/>
      <c r="K34" s="21"/>
      <c r="L34" s="41" t="e">
        <f t="shared" si="2"/>
        <v>#DIV/0!</v>
      </c>
      <c r="M34" s="5"/>
    </row>
    <row r="35" spans="1:13" ht="18" customHeight="1">
      <c r="A35" s="25" t="s">
        <v>662</v>
      </c>
      <c r="B35" s="11"/>
      <c r="C35" s="12"/>
      <c r="D35" s="12"/>
      <c r="E35" s="11">
        <f t="shared" si="19"/>
        <v>0</v>
      </c>
      <c r="F35" s="40" t="e">
        <f t="shared" si="1"/>
        <v>#DIV/0!</v>
      </c>
      <c r="G35" s="11">
        <f t="shared" si="20"/>
        <v>0</v>
      </c>
      <c r="H35" s="21"/>
      <c r="I35" s="21"/>
      <c r="J35" s="21"/>
      <c r="K35" s="21"/>
      <c r="L35" s="41" t="e">
        <f t="shared" si="2"/>
        <v>#DIV/0!</v>
      </c>
      <c r="M35" s="5"/>
    </row>
    <row r="36" spans="1:13" ht="18" customHeight="1">
      <c r="A36" s="25" t="s">
        <v>663</v>
      </c>
      <c r="B36" s="11"/>
      <c r="C36" s="12"/>
      <c r="D36" s="12"/>
      <c r="E36" s="11">
        <f t="shared" si="19"/>
        <v>0</v>
      </c>
      <c r="F36" s="40" t="e">
        <f t="shared" si="1"/>
        <v>#DIV/0!</v>
      </c>
      <c r="G36" s="11">
        <f t="shared" si="20"/>
        <v>0</v>
      </c>
      <c r="H36" s="21"/>
      <c r="I36" s="21"/>
      <c r="J36" s="21"/>
      <c r="K36" s="21"/>
      <c r="L36" s="41" t="e">
        <f t="shared" si="2"/>
        <v>#DIV/0!</v>
      </c>
      <c r="M36" s="5"/>
    </row>
    <row r="37" spans="1:13" ht="18" customHeight="1">
      <c r="A37" s="25" t="s">
        <v>664</v>
      </c>
      <c r="B37" s="11"/>
      <c r="C37" s="12"/>
      <c r="D37" s="12"/>
      <c r="E37" s="11">
        <f t="shared" si="19"/>
        <v>0</v>
      </c>
      <c r="F37" s="40" t="e">
        <f t="shared" si="1"/>
        <v>#DIV/0!</v>
      </c>
      <c r="G37" s="11">
        <f t="shared" si="20"/>
        <v>0</v>
      </c>
      <c r="H37" s="21"/>
      <c r="I37" s="21"/>
      <c r="J37" s="21"/>
      <c r="K37" s="21"/>
      <c r="L37" s="41" t="e">
        <f t="shared" si="2"/>
        <v>#DIV/0!</v>
      </c>
      <c r="M37" s="5"/>
    </row>
    <row r="38" spans="1:13" ht="18" customHeight="1">
      <c r="A38" s="25" t="s">
        <v>665</v>
      </c>
      <c r="B38" s="11"/>
      <c r="C38" s="12"/>
      <c r="D38" s="12"/>
      <c r="E38" s="11">
        <f t="shared" si="19"/>
        <v>0</v>
      </c>
      <c r="F38" s="40" t="e">
        <f t="shared" si="1"/>
        <v>#DIV/0!</v>
      </c>
      <c r="G38" s="11">
        <f t="shared" si="20"/>
        <v>0</v>
      </c>
      <c r="H38" s="21"/>
      <c r="I38" s="21"/>
      <c r="J38" s="21"/>
      <c r="K38" s="21"/>
      <c r="L38" s="41" t="e">
        <f t="shared" si="2"/>
        <v>#DIV/0!</v>
      </c>
      <c r="M38" s="5"/>
    </row>
    <row r="39" spans="1:13" ht="18" customHeight="1">
      <c r="A39" s="25" t="s">
        <v>666</v>
      </c>
      <c r="B39" s="11"/>
      <c r="C39" s="12"/>
      <c r="D39" s="12"/>
      <c r="E39" s="11">
        <f t="shared" si="19"/>
        <v>0</v>
      </c>
      <c r="F39" s="40" t="e">
        <f t="shared" si="1"/>
        <v>#DIV/0!</v>
      </c>
      <c r="G39" s="11">
        <f t="shared" si="20"/>
        <v>0</v>
      </c>
      <c r="H39" s="21"/>
      <c r="I39" s="21"/>
      <c r="J39" s="21"/>
      <c r="K39" s="21"/>
      <c r="L39" s="41" t="e">
        <f t="shared" si="2"/>
        <v>#DIV/0!</v>
      </c>
      <c r="M39" s="5"/>
    </row>
    <row r="40" spans="1:13" ht="18" customHeight="1">
      <c r="A40" s="25" t="s">
        <v>667</v>
      </c>
      <c r="B40" s="26"/>
      <c r="C40" s="12"/>
      <c r="D40" s="12"/>
      <c r="E40" s="11">
        <f t="shared" si="19"/>
        <v>0</v>
      </c>
      <c r="F40" s="40" t="e">
        <f t="shared" si="1"/>
        <v>#DIV/0!</v>
      </c>
      <c r="G40" s="11">
        <f t="shared" si="20"/>
        <v>0</v>
      </c>
      <c r="H40" s="12"/>
      <c r="I40" s="12"/>
      <c r="J40" s="12"/>
      <c r="K40" s="12"/>
      <c r="L40" s="41" t="e">
        <f t="shared" si="2"/>
        <v>#DIV/0!</v>
      </c>
      <c r="M40" s="5"/>
    </row>
    <row r="41" spans="1:13" ht="18" customHeight="1">
      <c r="A41" s="25" t="s">
        <v>668</v>
      </c>
      <c r="B41" s="11"/>
      <c r="C41" s="12">
        <v>16940</v>
      </c>
      <c r="D41" s="12"/>
      <c r="E41" s="11">
        <f t="shared" si="19"/>
        <v>16940</v>
      </c>
      <c r="F41" s="40" t="e">
        <f t="shared" si="1"/>
        <v>#DIV/0!</v>
      </c>
      <c r="G41" s="11">
        <f t="shared" si="20"/>
        <v>0</v>
      </c>
      <c r="H41" s="12"/>
      <c r="I41" s="12"/>
      <c r="J41" s="12"/>
      <c r="K41" s="12"/>
      <c r="L41" s="41">
        <f t="shared" si="2"/>
        <v>0</v>
      </c>
      <c r="M41" s="5"/>
    </row>
    <row r="42" spans="1:13" ht="18" customHeight="1">
      <c r="A42" s="25" t="s">
        <v>669</v>
      </c>
      <c r="B42" s="11"/>
      <c r="C42" s="12">
        <v>155</v>
      </c>
      <c r="D42" s="12"/>
      <c r="E42" s="11">
        <f t="shared" si="19"/>
        <v>155</v>
      </c>
      <c r="F42" s="40" t="e">
        <f t="shared" si="1"/>
        <v>#DIV/0!</v>
      </c>
      <c r="G42" s="11">
        <f t="shared" si="20"/>
        <v>0</v>
      </c>
      <c r="H42" s="12"/>
      <c r="I42" s="12"/>
      <c r="J42" s="12"/>
      <c r="K42" s="12"/>
      <c r="L42" s="41">
        <f t="shared" si="2"/>
        <v>0</v>
      </c>
      <c r="M42" s="5"/>
    </row>
    <row r="43" spans="1:13" ht="18" customHeight="1">
      <c r="A43" s="25" t="s">
        <v>670</v>
      </c>
      <c r="B43" s="11">
        <f aca="true" t="shared" si="21" ref="B43:K43">SUM(B44:B46)</f>
        <v>0</v>
      </c>
      <c r="C43" s="11">
        <f t="shared" si="21"/>
        <v>0</v>
      </c>
      <c r="D43" s="11">
        <f t="shared" si="21"/>
        <v>0</v>
      </c>
      <c r="E43" s="11">
        <f t="shared" si="21"/>
        <v>0</v>
      </c>
      <c r="F43" s="40" t="e">
        <f t="shared" si="1"/>
        <v>#DIV/0!</v>
      </c>
      <c r="G43" s="11">
        <f t="shared" si="21"/>
        <v>0</v>
      </c>
      <c r="H43" s="11">
        <f t="shared" si="21"/>
        <v>0</v>
      </c>
      <c r="I43" s="11">
        <f t="shared" si="21"/>
        <v>0</v>
      </c>
      <c r="J43" s="11">
        <f t="shared" si="21"/>
        <v>0</v>
      </c>
      <c r="K43" s="11">
        <f t="shared" si="21"/>
        <v>0</v>
      </c>
      <c r="L43" s="41" t="e">
        <f t="shared" si="2"/>
        <v>#DIV/0!</v>
      </c>
      <c r="M43" s="5"/>
    </row>
    <row r="44" spans="1:13" ht="18" customHeight="1">
      <c r="A44" s="25" t="s">
        <v>671</v>
      </c>
      <c r="B44" s="11"/>
      <c r="C44" s="12"/>
      <c r="D44" s="12"/>
      <c r="E44" s="11">
        <f aca="true" t="shared" si="22" ref="E44:E47">C44+D44</f>
        <v>0</v>
      </c>
      <c r="F44" s="40" t="e">
        <f t="shared" si="1"/>
        <v>#DIV/0!</v>
      </c>
      <c r="G44" s="11">
        <f aca="true" t="shared" si="23" ref="G44:G47">SUM(H44:K44)</f>
        <v>0</v>
      </c>
      <c r="H44" s="12"/>
      <c r="I44" s="12"/>
      <c r="J44" s="12"/>
      <c r="K44" s="12"/>
      <c r="L44" s="41" t="e">
        <f t="shared" si="2"/>
        <v>#DIV/0!</v>
      </c>
      <c r="M44" s="5"/>
    </row>
    <row r="45" spans="1:13" ht="18" customHeight="1">
      <c r="A45" s="25" t="s">
        <v>672</v>
      </c>
      <c r="B45" s="11"/>
      <c r="C45" s="12"/>
      <c r="D45" s="12"/>
      <c r="E45" s="11">
        <f t="shared" si="22"/>
        <v>0</v>
      </c>
      <c r="F45" s="40" t="e">
        <f t="shared" si="1"/>
        <v>#DIV/0!</v>
      </c>
      <c r="G45" s="11">
        <f t="shared" si="23"/>
        <v>0</v>
      </c>
      <c r="H45" s="12"/>
      <c r="I45" s="12"/>
      <c r="J45" s="12"/>
      <c r="K45" s="12"/>
      <c r="L45" s="41" t="e">
        <f t="shared" si="2"/>
        <v>#DIV/0!</v>
      </c>
      <c r="M45" s="5"/>
    </row>
    <row r="46" spans="1:13" ht="18" customHeight="1">
      <c r="A46" s="25" t="s">
        <v>673</v>
      </c>
      <c r="B46" s="11"/>
      <c r="C46" s="12"/>
      <c r="D46" s="12"/>
      <c r="E46" s="11">
        <f t="shared" si="22"/>
        <v>0</v>
      </c>
      <c r="F46" s="40" t="e">
        <f t="shared" si="1"/>
        <v>#DIV/0!</v>
      </c>
      <c r="G46" s="11">
        <f t="shared" si="23"/>
        <v>0</v>
      </c>
      <c r="H46" s="12"/>
      <c r="I46" s="12"/>
      <c r="J46" s="12"/>
      <c r="K46" s="12"/>
      <c r="L46" s="41" t="e">
        <f t="shared" si="2"/>
        <v>#DIV/0!</v>
      </c>
      <c r="M46" s="5"/>
    </row>
    <row r="47" spans="1:13" ht="18" customHeight="1">
      <c r="A47" s="109" t="s">
        <v>674</v>
      </c>
      <c r="B47" s="110"/>
      <c r="C47" s="112"/>
      <c r="D47" s="112"/>
      <c r="E47" s="11">
        <f t="shared" si="22"/>
        <v>0</v>
      </c>
      <c r="F47" s="40" t="e">
        <f t="shared" si="1"/>
        <v>#DIV/0!</v>
      </c>
      <c r="G47" s="11">
        <f t="shared" si="23"/>
        <v>129572.06</v>
      </c>
      <c r="H47" s="112"/>
      <c r="I47" s="111">
        <f>E5+G5</f>
        <v>129572.06</v>
      </c>
      <c r="J47" s="112"/>
      <c r="K47" s="112"/>
      <c r="L47" s="41" t="e">
        <f t="shared" si="2"/>
        <v>#DIV/0!</v>
      </c>
      <c r="M47" s="113">
        <v>45078</v>
      </c>
    </row>
    <row r="48" spans="1:13" ht="12.75">
      <c r="A48" s="25" t="s">
        <v>628</v>
      </c>
      <c r="B48" s="11"/>
      <c r="C48" s="12"/>
      <c r="D48" s="12"/>
      <c r="E48" s="11"/>
      <c r="F48" s="40"/>
      <c r="G48" s="11">
        <f>E5-E47+G5-G47</f>
        <v>0</v>
      </c>
      <c r="H48" s="12"/>
      <c r="I48" s="12"/>
      <c r="J48" s="12"/>
      <c r="K48" s="12"/>
      <c r="L48" s="41"/>
      <c r="M48" s="5"/>
    </row>
    <row r="49" spans="1:13" ht="12.75">
      <c r="A49" s="25"/>
      <c r="B49" s="11"/>
      <c r="C49" s="12"/>
      <c r="D49" s="12"/>
      <c r="E49" s="11"/>
      <c r="F49" s="40"/>
      <c r="G49" s="11"/>
      <c r="H49" s="12"/>
      <c r="I49" s="12"/>
      <c r="J49" s="12"/>
      <c r="K49" s="12"/>
      <c r="L49" s="41"/>
      <c r="M49" s="5"/>
    </row>
    <row r="50" spans="1:13" ht="12.75">
      <c r="A50" s="5"/>
      <c r="B50" s="5"/>
      <c r="C50" s="16"/>
      <c r="D50" s="4" t="s">
        <v>677</v>
      </c>
      <c r="E50" s="5"/>
      <c r="F50" s="5"/>
      <c r="G50" s="5"/>
      <c r="H50" s="16"/>
      <c r="I50" s="4" t="s">
        <v>678</v>
      </c>
      <c r="J50" s="5"/>
      <c r="K50" s="5"/>
      <c r="L50" s="5"/>
      <c r="M50" s="5"/>
    </row>
  </sheetData>
  <sheetProtection/>
  <mergeCells count="6">
    <mergeCell ref="A1:M1"/>
    <mergeCell ref="B3:F3"/>
    <mergeCell ref="G3:K3"/>
    <mergeCell ref="A3:A4"/>
    <mergeCell ref="L3:L4"/>
    <mergeCell ref="M3:M4"/>
  </mergeCells>
  <printOptions/>
  <pageMargins left="1.18" right="0.19" top="0.55" bottom="0.39" header="0.28" footer="0.16"/>
  <pageSetup fitToHeight="1" fitToWidth="1" horizontalDpi="300" verticalDpi="300" orientation="landscape" paperSize="9" scale="76"/>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M50"/>
  <sheetViews>
    <sheetView workbookViewId="0" topLeftCell="A1">
      <selection activeCell="A2" sqref="A2"/>
    </sheetView>
  </sheetViews>
  <sheetFormatPr defaultColWidth="9.140625" defaultRowHeight="12.75"/>
  <cols>
    <col min="1" max="1" width="30.28125" style="0" customWidth="1"/>
    <col min="2" max="2" width="13.140625" style="0" customWidth="1"/>
    <col min="3" max="3" width="10.7109375" style="0" customWidth="1"/>
    <col min="4" max="4" width="11.7109375" style="0" customWidth="1"/>
    <col min="5" max="6" width="10.7109375" style="0" customWidth="1"/>
    <col min="7" max="11" width="13.7109375" style="0" customWidth="1"/>
    <col min="12" max="13" width="10.7109375" style="0" customWidth="1"/>
  </cols>
  <sheetData>
    <row r="1" spans="1:13" ht="25.5" customHeight="1">
      <c r="A1" s="105" t="s">
        <v>686</v>
      </c>
      <c r="B1" s="23"/>
      <c r="C1" s="23" t="s">
        <v>598</v>
      </c>
      <c r="D1" s="23" t="s">
        <v>598</v>
      </c>
      <c r="E1" s="23" t="s">
        <v>598</v>
      </c>
      <c r="F1" s="23"/>
      <c r="G1" s="23" t="s">
        <v>598</v>
      </c>
      <c r="H1" s="23" t="s">
        <v>598</v>
      </c>
      <c r="I1" s="23" t="s">
        <v>598</v>
      </c>
      <c r="J1" s="23" t="s">
        <v>598</v>
      </c>
      <c r="K1" s="23" t="s">
        <v>598</v>
      </c>
      <c r="L1" s="23" t="s">
        <v>598</v>
      </c>
      <c r="M1" s="23" t="s">
        <v>598</v>
      </c>
    </row>
    <row r="2" spans="1:13" ht="18" customHeight="1">
      <c r="A2" s="106" t="s">
        <v>364</v>
      </c>
      <c r="B2" s="107"/>
      <c r="C2" s="45"/>
      <c r="D2" s="46"/>
      <c r="E2" s="47"/>
      <c r="F2" s="55"/>
      <c r="G2" s="24" t="s">
        <v>288</v>
      </c>
      <c r="H2" s="5"/>
      <c r="I2" s="5"/>
      <c r="J2" s="5"/>
      <c r="K2" s="5"/>
      <c r="L2" s="16" t="s">
        <v>599</v>
      </c>
      <c r="M2" s="5"/>
    </row>
    <row r="3" spans="1:13" ht="18" customHeight="1">
      <c r="A3" s="18" t="s">
        <v>290</v>
      </c>
      <c r="B3" s="90" t="s">
        <v>366</v>
      </c>
      <c r="C3" s="38"/>
      <c r="D3" s="38"/>
      <c r="E3" s="38"/>
      <c r="F3" s="39"/>
      <c r="G3" s="9" t="s">
        <v>292</v>
      </c>
      <c r="H3" s="9"/>
      <c r="I3" s="9" t="s">
        <v>292</v>
      </c>
      <c r="J3" s="9" t="s">
        <v>292</v>
      </c>
      <c r="K3" s="9" t="s">
        <v>292</v>
      </c>
      <c r="L3" s="9" t="s">
        <v>293</v>
      </c>
      <c r="M3" s="18" t="s">
        <v>33</v>
      </c>
    </row>
    <row r="4" spans="1:13" ht="18" customHeight="1">
      <c r="A4" s="18"/>
      <c r="B4" s="9" t="s">
        <v>294</v>
      </c>
      <c r="C4" s="9" t="s">
        <v>463</v>
      </c>
      <c r="D4" s="9" t="s">
        <v>296</v>
      </c>
      <c r="E4" s="9" t="s">
        <v>464</v>
      </c>
      <c r="F4" s="9" t="s">
        <v>299</v>
      </c>
      <c r="G4" s="9" t="s">
        <v>314</v>
      </c>
      <c r="H4" s="9" t="s">
        <v>324</v>
      </c>
      <c r="I4" s="9" t="s">
        <v>331</v>
      </c>
      <c r="J4" s="9" t="s">
        <v>334</v>
      </c>
      <c r="K4" s="9" t="s">
        <v>336</v>
      </c>
      <c r="L4" s="9" t="s">
        <v>293</v>
      </c>
      <c r="M4" s="18" t="s">
        <v>33</v>
      </c>
    </row>
    <row r="5" spans="1:13" ht="18" customHeight="1">
      <c r="A5" s="25" t="s">
        <v>632</v>
      </c>
      <c r="B5" s="11">
        <f aca="true" t="shared" si="0" ref="B5:K5">B6+B32+B43</f>
        <v>0</v>
      </c>
      <c r="C5" s="11">
        <f t="shared" si="0"/>
        <v>0</v>
      </c>
      <c r="D5" s="11">
        <f t="shared" si="0"/>
        <v>39608</v>
      </c>
      <c r="E5" s="11">
        <f t="shared" si="0"/>
        <v>39608</v>
      </c>
      <c r="F5" s="40" t="e">
        <f aca="true" t="shared" si="1" ref="F5:F47">E5/B5</f>
        <v>#DIV/0!</v>
      </c>
      <c r="G5" s="11">
        <f t="shared" si="0"/>
        <v>36100</v>
      </c>
      <c r="H5" s="11">
        <f t="shared" si="0"/>
        <v>36100</v>
      </c>
      <c r="I5" s="11">
        <f t="shared" si="0"/>
        <v>0</v>
      </c>
      <c r="J5" s="11">
        <f t="shared" si="0"/>
        <v>0</v>
      </c>
      <c r="K5" s="11">
        <f t="shared" si="0"/>
        <v>0</v>
      </c>
      <c r="L5" s="41">
        <f aca="true" t="shared" si="2" ref="L5:L47">G5/E5</f>
        <v>0.9114320339325389</v>
      </c>
      <c r="M5" s="5"/>
    </row>
    <row r="6" spans="1:13" ht="18" customHeight="1">
      <c r="A6" s="25" t="s">
        <v>633</v>
      </c>
      <c r="B6" s="11">
        <f aca="true" t="shared" si="3" ref="B6:K6">B7+B26+B27</f>
        <v>0</v>
      </c>
      <c r="C6" s="11">
        <f t="shared" si="3"/>
        <v>0</v>
      </c>
      <c r="D6" s="11">
        <f t="shared" si="3"/>
        <v>39608</v>
      </c>
      <c r="E6" s="11">
        <f t="shared" si="3"/>
        <v>39608</v>
      </c>
      <c r="F6" s="40" t="e">
        <f t="shared" si="1"/>
        <v>#DIV/0!</v>
      </c>
      <c r="G6" s="11">
        <f t="shared" si="3"/>
        <v>33000</v>
      </c>
      <c r="H6" s="11">
        <f t="shared" si="3"/>
        <v>33000</v>
      </c>
      <c r="I6" s="11">
        <f t="shared" si="3"/>
        <v>0</v>
      </c>
      <c r="J6" s="11">
        <f t="shared" si="3"/>
        <v>0</v>
      </c>
      <c r="K6" s="11">
        <f t="shared" si="3"/>
        <v>0</v>
      </c>
      <c r="L6" s="41">
        <f t="shared" si="2"/>
        <v>0.8331650171682489</v>
      </c>
      <c r="M6" s="5"/>
    </row>
    <row r="7" spans="1:13" ht="18" customHeight="1">
      <c r="A7" s="72" t="s">
        <v>634</v>
      </c>
      <c r="B7" s="11">
        <f aca="true" t="shared" si="4" ref="B7:K7">B8+B16+B20+B23+B24+B25</f>
        <v>0</v>
      </c>
      <c r="C7" s="11">
        <f t="shared" si="4"/>
        <v>0</v>
      </c>
      <c r="D7" s="11">
        <f t="shared" si="4"/>
        <v>0</v>
      </c>
      <c r="E7" s="11">
        <f t="shared" si="4"/>
        <v>0</v>
      </c>
      <c r="F7" s="40" t="e">
        <f t="shared" si="1"/>
        <v>#DIV/0!</v>
      </c>
      <c r="G7" s="11">
        <f t="shared" si="4"/>
        <v>0</v>
      </c>
      <c r="H7" s="11">
        <f t="shared" si="4"/>
        <v>0</v>
      </c>
      <c r="I7" s="11">
        <f t="shared" si="4"/>
        <v>0</v>
      </c>
      <c r="J7" s="11">
        <f t="shared" si="4"/>
        <v>0</v>
      </c>
      <c r="K7" s="11">
        <f t="shared" si="4"/>
        <v>0</v>
      </c>
      <c r="L7" s="41" t="e">
        <f t="shared" si="2"/>
        <v>#DIV/0!</v>
      </c>
      <c r="M7" s="5"/>
    </row>
    <row r="8" spans="1:13" ht="18" customHeight="1">
      <c r="A8" s="72" t="s">
        <v>635</v>
      </c>
      <c r="B8" s="11">
        <f aca="true" t="shared" si="5" ref="B8:K8">B9+B10+B14+B15</f>
        <v>0</v>
      </c>
      <c r="C8" s="11">
        <f t="shared" si="5"/>
        <v>0</v>
      </c>
      <c r="D8" s="11">
        <f t="shared" si="5"/>
        <v>0</v>
      </c>
      <c r="E8" s="11">
        <f t="shared" si="5"/>
        <v>0</v>
      </c>
      <c r="F8" s="40" t="e">
        <f t="shared" si="1"/>
        <v>#DIV/0!</v>
      </c>
      <c r="G8" s="11">
        <f t="shared" si="5"/>
        <v>0</v>
      </c>
      <c r="H8" s="11">
        <f t="shared" si="5"/>
        <v>0</v>
      </c>
      <c r="I8" s="11">
        <f t="shared" si="5"/>
        <v>0</v>
      </c>
      <c r="J8" s="11">
        <f t="shared" si="5"/>
        <v>0</v>
      </c>
      <c r="K8" s="11">
        <f t="shared" si="5"/>
        <v>0</v>
      </c>
      <c r="L8" s="41" t="e">
        <f t="shared" si="2"/>
        <v>#DIV/0!</v>
      </c>
      <c r="M8" s="5"/>
    </row>
    <row r="9" spans="1:13" ht="18" customHeight="1">
      <c r="A9" s="72" t="s">
        <v>636</v>
      </c>
      <c r="B9" s="11"/>
      <c r="C9" s="15"/>
      <c r="D9" s="12"/>
      <c r="E9" s="11">
        <f aca="true" t="shared" si="6" ref="E9:E15">C9+D9</f>
        <v>0</v>
      </c>
      <c r="F9" s="40" t="e">
        <f t="shared" si="1"/>
        <v>#DIV/0!</v>
      </c>
      <c r="G9" s="11">
        <f aca="true" t="shared" si="7" ref="G9:G15">SUM(H9:K9)</f>
        <v>0</v>
      </c>
      <c r="H9" s="12"/>
      <c r="I9" s="12"/>
      <c r="J9" s="12"/>
      <c r="K9" s="12"/>
      <c r="L9" s="41" t="e">
        <f t="shared" si="2"/>
        <v>#DIV/0!</v>
      </c>
      <c r="M9" s="5"/>
    </row>
    <row r="10" spans="1:13" ht="18" customHeight="1">
      <c r="A10" s="72" t="s">
        <v>637</v>
      </c>
      <c r="B10" s="11">
        <f aca="true" t="shared" si="8" ref="B10:K10">SUM(B11:B13)</f>
        <v>0</v>
      </c>
      <c r="C10" s="11">
        <f t="shared" si="8"/>
        <v>0</v>
      </c>
      <c r="D10" s="11">
        <f t="shared" si="8"/>
        <v>0</v>
      </c>
      <c r="E10" s="11">
        <f t="shared" si="8"/>
        <v>0</v>
      </c>
      <c r="F10" s="40" t="e">
        <f t="shared" si="1"/>
        <v>#DIV/0!</v>
      </c>
      <c r="G10" s="11">
        <f t="shared" si="8"/>
        <v>0</v>
      </c>
      <c r="H10" s="11">
        <f t="shared" si="8"/>
        <v>0</v>
      </c>
      <c r="I10" s="11">
        <f t="shared" si="8"/>
        <v>0</v>
      </c>
      <c r="J10" s="11">
        <f t="shared" si="8"/>
        <v>0</v>
      </c>
      <c r="K10" s="11">
        <f t="shared" si="8"/>
        <v>0</v>
      </c>
      <c r="L10" s="41" t="e">
        <f t="shared" si="2"/>
        <v>#DIV/0!</v>
      </c>
      <c r="M10" s="5"/>
    </row>
    <row r="11" spans="1:13" ht="18" customHeight="1">
      <c r="A11" s="75" t="s">
        <v>638</v>
      </c>
      <c r="B11" s="11"/>
      <c r="C11" s="15"/>
      <c r="D11" s="12"/>
      <c r="E11" s="11">
        <f t="shared" si="6"/>
        <v>0</v>
      </c>
      <c r="F11" s="40" t="e">
        <f t="shared" si="1"/>
        <v>#DIV/0!</v>
      </c>
      <c r="G11" s="11">
        <f t="shared" si="7"/>
        <v>0</v>
      </c>
      <c r="H11" s="12"/>
      <c r="I11" s="12"/>
      <c r="J11" s="12"/>
      <c r="K11" s="12"/>
      <c r="L11" s="41" t="e">
        <f t="shared" si="2"/>
        <v>#DIV/0!</v>
      </c>
      <c r="M11" s="5"/>
    </row>
    <row r="12" spans="1:13" ht="18" customHeight="1">
      <c r="A12" s="75" t="s">
        <v>639</v>
      </c>
      <c r="B12" s="11"/>
      <c r="C12" s="15"/>
      <c r="D12" s="12"/>
      <c r="E12" s="11">
        <f t="shared" si="6"/>
        <v>0</v>
      </c>
      <c r="F12" s="40" t="e">
        <f t="shared" si="1"/>
        <v>#DIV/0!</v>
      </c>
      <c r="G12" s="11">
        <f t="shared" si="7"/>
        <v>0</v>
      </c>
      <c r="H12" s="12"/>
      <c r="I12" s="12"/>
      <c r="J12" s="12"/>
      <c r="K12" s="12"/>
      <c r="L12" s="41" t="e">
        <f t="shared" si="2"/>
        <v>#DIV/0!</v>
      </c>
      <c r="M12" s="5"/>
    </row>
    <row r="13" spans="1:13" ht="18" customHeight="1">
      <c r="A13" s="75" t="s">
        <v>640</v>
      </c>
      <c r="B13" s="11"/>
      <c r="C13" s="15"/>
      <c r="D13" s="12"/>
      <c r="E13" s="11">
        <f t="shared" si="6"/>
        <v>0</v>
      </c>
      <c r="F13" s="40" t="e">
        <f t="shared" si="1"/>
        <v>#DIV/0!</v>
      </c>
      <c r="G13" s="11">
        <f t="shared" si="7"/>
        <v>0</v>
      </c>
      <c r="H13" s="12"/>
      <c r="I13" s="12"/>
      <c r="J13" s="12"/>
      <c r="K13" s="12"/>
      <c r="L13" s="41" t="e">
        <f t="shared" si="2"/>
        <v>#DIV/0!</v>
      </c>
      <c r="M13" s="5"/>
    </row>
    <row r="14" spans="1:13" ht="18" customHeight="1">
      <c r="A14" s="72" t="s">
        <v>641</v>
      </c>
      <c r="B14" s="11"/>
      <c r="C14" s="15"/>
      <c r="D14" s="12"/>
      <c r="E14" s="11">
        <f t="shared" si="6"/>
        <v>0</v>
      </c>
      <c r="F14" s="40" t="e">
        <f t="shared" si="1"/>
        <v>#DIV/0!</v>
      </c>
      <c r="G14" s="11">
        <f t="shared" si="7"/>
        <v>0</v>
      </c>
      <c r="H14" s="12"/>
      <c r="I14" s="12"/>
      <c r="J14" s="12"/>
      <c r="K14" s="12"/>
      <c r="L14" s="41" t="e">
        <f t="shared" si="2"/>
        <v>#DIV/0!</v>
      </c>
      <c r="M14" s="5"/>
    </row>
    <row r="15" spans="1:13" ht="18" customHeight="1">
      <c r="A15" s="72" t="s">
        <v>642</v>
      </c>
      <c r="B15" s="11"/>
      <c r="C15" s="15"/>
      <c r="D15" s="12"/>
      <c r="E15" s="11">
        <f t="shared" si="6"/>
        <v>0</v>
      </c>
      <c r="F15" s="40" t="e">
        <f t="shared" si="1"/>
        <v>#DIV/0!</v>
      </c>
      <c r="G15" s="11">
        <f t="shared" si="7"/>
        <v>0</v>
      </c>
      <c r="H15" s="21"/>
      <c r="I15" s="21"/>
      <c r="J15" s="21"/>
      <c r="K15" s="21"/>
      <c r="L15" s="41" t="e">
        <f t="shared" si="2"/>
        <v>#DIV/0!</v>
      </c>
      <c r="M15" s="5"/>
    </row>
    <row r="16" spans="1:13" ht="18" customHeight="1">
      <c r="A16" s="72" t="s">
        <v>643</v>
      </c>
      <c r="B16" s="11">
        <f aca="true" t="shared" si="9" ref="B16:K16">SUM(B17:B19)</f>
        <v>0</v>
      </c>
      <c r="C16" s="11">
        <f t="shared" si="9"/>
        <v>0</v>
      </c>
      <c r="D16" s="11">
        <f t="shared" si="9"/>
        <v>0</v>
      </c>
      <c r="E16" s="11">
        <f t="shared" si="9"/>
        <v>0</v>
      </c>
      <c r="F16" s="40" t="e">
        <f t="shared" si="1"/>
        <v>#DIV/0!</v>
      </c>
      <c r="G16" s="11">
        <f t="shared" si="9"/>
        <v>0</v>
      </c>
      <c r="H16" s="11">
        <f t="shared" si="9"/>
        <v>0</v>
      </c>
      <c r="I16" s="11">
        <f t="shared" si="9"/>
        <v>0</v>
      </c>
      <c r="J16" s="11">
        <f t="shared" si="9"/>
        <v>0</v>
      </c>
      <c r="K16" s="11">
        <f t="shared" si="9"/>
        <v>0</v>
      </c>
      <c r="L16" s="41" t="e">
        <f t="shared" si="2"/>
        <v>#DIV/0!</v>
      </c>
      <c r="M16" s="5"/>
    </row>
    <row r="17" spans="1:13" ht="18" customHeight="1">
      <c r="A17" s="72" t="s">
        <v>644</v>
      </c>
      <c r="B17" s="11"/>
      <c r="C17" s="15"/>
      <c r="D17" s="12"/>
      <c r="E17" s="11">
        <f aca="true" t="shared" si="10" ref="E17:E19">C17+D17</f>
        <v>0</v>
      </c>
      <c r="F17" s="40" t="e">
        <f t="shared" si="1"/>
        <v>#DIV/0!</v>
      </c>
      <c r="G17" s="11">
        <f aca="true" t="shared" si="11" ref="G17:G19">SUM(H17:K17)</f>
        <v>0</v>
      </c>
      <c r="H17" s="21"/>
      <c r="I17" s="21"/>
      <c r="J17" s="21"/>
      <c r="K17" s="21"/>
      <c r="L17" s="41" t="e">
        <f t="shared" si="2"/>
        <v>#DIV/0!</v>
      </c>
      <c r="M17" s="5"/>
    </row>
    <row r="18" spans="1:13" ht="18" customHeight="1">
      <c r="A18" s="72" t="s">
        <v>645</v>
      </c>
      <c r="B18" s="11"/>
      <c r="C18" s="15"/>
      <c r="D18" s="12"/>
      <c r="E18" s="11">
        <f t="shared" si="10"/>
        <v>0</v>
      </c>
      <c r="F18" s="40" t="e">
        <f t="shared" si="1"/>
        <v>#DIV/0!</v>
      </c>
      <c r="G18" s="11">
        <f t="shared" si="11"/>
        <v>0</v>
      </c>
      <c r="H18" s="21"/>
      <c r="I18" s="21"/>
      <c r="J18" s="21"/>
      <c r="K18" s="21"/>
      <c r="L18" s="41" t="e">
        <f t="shared" si="2"/>
        <v>#DIV/0!</v>
      </c>
      <c r="M18" s="5"/>
    </row>
    <row r="19" spans="1:13" ht="18" customHeight="1">
      <c r="A19" s="72" t="s">
        <v>646</v>
      </c>
      <c r="B19" s="11"/>
      <c r="C19" s="15"/>
      <c r="D19" s="12"/>
      <c r="E19" s="11">
        <f t="shared" si="10"/>
        <v>0</v>
      </c>
      <c r="F19" s="40" t="e">
        <f t="shared" si="1"/>
        <v>#DIV/0!</v>
      </c>
      <c r="G19" s="11">
        <f t="shared" si="11"/>
        <v>0</v>
      </c>
      <c r="H19" s="21"/>
      <c r="I19" s="21"/>
      <c r="J19" s="21"/>
      <c r="K19" s="21"/>
      <c r="L19" s="41" t="e">
        <f t="shared" si="2"/>
        <v>#DIV/0!</v>
      </c>
      <c r="M19" s="5"/>
    </row>
    <row r="20" spans="1:13" ht="18" customHeight="1">
      <c r="A20" s="72" t="s">
        <v>647</v>
      </c>
      <c r="B20" s="11">
        <f aca="true" t="shared" si="12" ref="B20:K20">SUM(B21:B22)</f>
        <v>0</v>
      </c>
      <c r="C20" s="11">
        <f t="shared" si="12"/>
        <v>0</v>
      </c>
      <c r="D20" s="11">
        <f t="shared" si="12"/>
        <v>0</v>
      </c>
      <c r="E20" s="11">
        <f t="shared" si="12"/>
        <v>0</v>
      </c>
      <c r="F20" s="40" t="e">
        <f t="shared" si="1"/>
        <v>#DIV/0!</v>
      </c>
      <c r="G20" s="11">
        <f t="shared" si="12"/>
        <v>0</v>
      </c>
      <c r="H20" s="11">
        <f t="shared" si="12"/>
        <v>0</v>
      </c>
      <c r="I20" s="11">
        <f t="shared" si="12"/>
        <v>0</v>
      </c>
      <c r="J20" s="11">
        <f t="shared" si="12"/>
        <v>0</v>
      </c>
      <c r="K20" s="11">
        <f t="shared" si="12"/>
        <v>0</v>
      </c>
      <c r="L20" s="41" t="e">
        <f t="shared" si="2"/>
        <v>#DIV/0!</v>
      </c>
      <c r="M20" s="5"/>
    </row>
    <row r="21" spans="1:13" ht="18" customHeight="1">
      <c r="A21" s="72" t="s">
        <v>648</v>
      </c>
      <c r="B21" s="11"/>
      <c r="C21" s="15"/>
      <c r="D21" s="12"/>
      <c r="E21" s="11">
        <f aca="true" t="shared" si="13" ref="E21:E26">C21+D21</f>
        <v>0</v>
      </c>
      <c r="F21" s="40" t="e">
        <f t="shared" si="1"/>
        <v>#DIV/0!</v>
      </c>
      <c r="G21" s="11">
        <f aca="true" t="shared" si="14" ref="G21:G26">SUM(H21:K21)</f>
        <v>0</v>
      </c>
      <c r="H21" s="21"/>
      <c r="I21" s="21"/>
      <c r="J21" s="21"/>
      <c r="K21" s="21"/>
      <c r="L21" s="41" t="e">
        <f t="shared" si="2"/>
        <v>#DIV/0!</v>
      </c>
      <c r="M21" s="5"/>
    </row>
    <row r="22" spans="1:13" ht="18" customHeight="1">
      <c r="A22" s="72" t="s">
        <v>649</v>
      </c>
      <c r="B22" s="11"/>
      <c r="C22" s="15"/>
      <c r="D22" s="12"/>
      <c r="E22" s="11">
        <f t="shared" si="13"/>
        <v>0</v>
      </c>
      <c r="F22" s="40" t="e">
        <f t="shared" si="1"/>
        <v>#DIV/0!</v>
      </c>
      <c r="G22" s="11">
        <f t="shared" si="14"/>
        <v>0</v>
      </c>
      <c r="H22" s="21"/>
      <c r="I22" s="21"/>
      <c r="J22" s="21"/>
      <c r="K22" s="21"/>
      <c r="L22" s="41" t="e">
        <f t="shared" si="2"/>
        <v>#DIV/0!</v>
      </c>
      <c r="M22" s="5"/>
    </row>
    <row r="23" spans="1:13" ht="18" customHeight="1">
      <c r="A23" s="72" t="s">
        <v>650</v>
      </c>
      <c r="B23" s="11"/>
      <c r="C23" s="15"/>
      <c r="D23" s="12"/>
      <c r="E23" s="11">
        <f t="shared" si="13"/>
        <v>0</v>
      </c>
      <c r="F23" s="40" t="e">
        <f t="shared" si="1"/>
        <v>#DIV/0!</v>
      </c>
      <c r="G23" s="11">
        <f t="shared" si="14"/>
        <v>0</v>
      </c>
      <c r="H23" s="21"/>
      <c r="I23" s="21"/>
      <c r="J23" s="21"/>
      <c r="K23" s="21"/>
      <c r="L23" s="41" t="e">
        <f t="shared" si="2"/>
        <v>#DIV/0!</v>
      </c>
      <c r="M23" s="5"/>
    </row>
    <row r="24" spans="1:13" ht="18" customHeight="1">
      <c r="A24" s="72" t="s">
        <v>651</v>
      </c>
      <c r="B24" s="11"/>
      <c r="C24" s="15"/>
      <c r="D24" s="12"/>
      <c r="E24" s="11">
        <f t="shared" si="13"/>
        <v>0</v>
      </c>
      <c r="F24" s="40" t="e">
        <f t="shared" si="1"/>
        <v>#DIV/0!</v>
      </c>
      <c r="G24" s="11">
        <f t="shared" si="14"/>
        <v>0</v>
      </c>
      <c r="H24" s="21"/>
      <c r="I24" s="21"/>
      <c r="J24" s="21"/>
      <c r="K24" s="21"/>
      <c r="L24" s="41" t="e">
        <f t="shared" si="2"/>
        <v>#DIV/0!</v>
      </c>
      <c r="M24" s="5"/>
    </row>
    <row r="25" spans="1:13" ht="18" customHeight="1">
      <c r="A25" s="72" t="s">
        <v>652</v>
      </c>
      <c r="B25" s="11"/>
      <c r="C25" s="15"/>
      <c r="D25" s="12"/>
      <c r="E25" s="11">
        <f t="shared" si="13"/>
        <v>0</v>
      </c>
      <c r="F25" s="40" t="e">
        <f t="shared" si="1"/>
        <v>#DIV/0!</v>
      </c>
      <c r="G25" s="11">
        <f t="shared" si="14"/>
        <v>0</v>
      </c>
      <c r="H25" s="21"/>
      <c r="I25" s="21"/>
      <c r="J25" s="21"/>
      <c r="K25" s="21"/>
      <c r="L25" s="41" t="e">
        <f t="shared" si="2"/>
        <v>#DIV/0!</v>
      </c>
      <c r="M25" s="5"/>
    </row>
    <row r="26" spans="1:13" ht="18" customHeight="1">
      <c r="A26" s="108" t="s">
        <v>653</v>
      </c>
      <c r="B26" s="11"/>
      <c r="C26" s="15"/>
      <c r="D26" s="21">
        <f>21508+14100</f>
        <v>35608</v>
      </c>
      <c r="E26" s="11">
        <f t="shared" si="13"/>
        <v>35608</v>
      </c>
      <c r="F26" s="40" t="e">
        <f t="shared" si="1"/>
        <v>#DIV/0!</v>
      </c>
      <c r="G26" s="11">
        <f t="shared" si="14"/>
        <v>9900</v>
      </c>
      <c r="H26" s="21">
        <v>9900</v>
      </c>
      <c r="I26" s="21"/>
      <c r="J26" s="21"/>
      <c r="K26" s="21"/>
      <c r="L26" s="41">
        <f t="shared" si="2"/>
        <v>0.27802740957088296</v>
      </c>
      <c r="M26" s="5"/>
    </row>
    <row r="27" spans="1:13" ht="18" customHeight="1">
      <c r="A27" s="108" t="s">
        <v>654</v>
      </c>
      <c r="B27" s="11">
        <f aca="true" t="shared" si="15" ref="B27:K27">SUM(B28:B31)</f>
        <v>0</v>
      </c>
      <c r="C27" s="11">
        <f t="shared" si="15"/>
        <v>0</v>
      </c>
      <c r="D27" s="11">
        <f t="shared" si="15"/>
        <v>4000</v>
      </c>
      <c r="E27" s="11">
        <f t="shared" si="15"/>
        <v>4000</v>
      </c>
      <c r="F27" s="40" t="e">
        <f t="shared" si="1"/>
        <v>#DIV/0!</v>
      </c>
      <c r="G27" s="11">
        <f t="shared" si="15"/>
        <v>23100</v>
      </c>
      <c r="H27" s="11">
        <f t="shared" si="15"/>
        <v>23100</v>
      </c>
      <c r="I27" s="11">
        <f t="shared" si="15"/>
        <v>0</v>
      </c>
      <c r="J27" s="11">
        <f t="shared" si="15"/>
        <v>0</v>
      </c>
      <c r="K27" s="11">
        <f t="shared" si="15"/>
        <v>0</v>
      </c>
      <c r="L27" s="41">
        <f t="shared" si="2"/>
        <v>5.775</v>
      </c>
      <c r="M27" s="5"/>
    </row>
    <row r="28" spans="1:13" ht="18" customHeight="1">
      <c r="A28" s="108" t="s">
        <v>655</v>
      </c>
      <c r="B28" s="11"/>
      <c r="C28" s="15"/>
      <c r="D28" s="21">
        <v>4000</v>
      </c>
      <c r="E28" s="11">
        <f aca="true" t="shared" si="16" ref="E28:E31">C28+D28</f>
        <v>4000</v>
      </c>
      <c r="F28" s="40" t="e">
        <f t="shared" si="1"/>
        <v>#DIV/0!</v>
      </c>
      <c r="G28" s="11">
        <f aca="true" t="shared" si="17" ref="G28:G31">SUM(H28:K28)</f>
        <v>0</v>
      </c>
      <c r="H28" s="21"/>
      <c r="I28" s="21"/>
      <c r="J28" s="21"/>
      <c r="K28" s="21"/>
      <c r="L28" s="41">
        <f t="shared" si="2"/>
        <v>0</v>
      </c>
      <c r="M28" s="5"/>
    </row>
    <row r="29" spans="1:13" ht="18" customHeight="1">
      <c r="A29" s="108" t="s">
        <v>656</v>
      </c>
      <c r="B29" s="11"/>
      <c r="C29" s="15"/>
      <c r="D29" s="12"/>
      <c r="E29" s="11">
        <f t="shared" si="16"/>
        <v>0</v>
      </c>
      <c r="F29" s="40" t="e">
        <f t="shared" si="1"/>
        <v>#DIV/0!</v>
      </c>
      <c r="G29" s="11">
        <f t="shared" si="17"/>
        <v>10500</v>
      </c>
      <c r="H29" s="21">
        <v>10500</v>
      </c>
      <c r="I29" s="21"/>
      <c r="J29" s="21"/>
      <c r="K29" s="21"/>
      <c r="L29" s="41" t="e">
        <f t="shared" si="2"/>
        <v>#DIV/0!</v>
      </c>
      <c r="M29" s="5"/>
    </row>
    <row r="30" spans="1:13" ht="18" customHeight="1">
      <c r="A30" s="108" t="s">
        <v>657</v>
      </c>
      <c r="B30" s="11"/>
      <c r="C30" s="15"/>
      <c r="D30" s="12"/>
      <c r="E30" s="11">
        <f t="shared" si="16"/>
        <v>0</v>
      </c>
      <c r="F30" s="40" t="e">
        <f t="shared" si="1"/>
        <v>#DIV/0!</v>
      </c>
      <c r="G30" s="11">
        <f t="shared" si="17"/>
        <v>10500</v>
      </c>
      <c r="H30" s="21">
        <v>10500</v>
      </c>
      <c r="I30" s="21"/>
      <c r="J30" s="21"/>
      <c r="K30" s="21"/>
      <c r="L30" s="41" t="e">
        <f t="shared" si="2"/>
        <v>#DIV/0!</v>
      </c>
      <c r="M30" s="5"/>
    </row>
    <row r="31" spans="1:13" ht="18" customHeight="1">
      <c r="A31" s="108" t="s">
        <v>658</v>
      </c>
      <c r="B31" s="11"/>
      <c r="C31" s="15"/>
      <c r="D31" s="12"/>
      <c r="E31" s="11">
        <f t="shared" si="16"/>
        <v>0</v>
      </c>
      <c r="F31" s="40" t="e">
        <f t="shared" si="1"/>
        <v>#DIV/0!</v>
      </c>
      <c r="G31" s="11">
        <f t="shared" si="17"/>
        <v>2100</v>
      </c>
      <c r="H31" s="21">
        <v>2100</v>
      </c>
      <c r="I31" s="21"/>
      <c r="J31" s="21"/>
      <c r="K31" s="21"/>
      <c r="L31" s="41" t="e">
        <f t="shared" si="2"/>
        <v>#DIV/0!</v>
      </c>
      <c r="M31" s="5"/>
    </row>
    <row r="32" spans="1:13" ht="18" customHeight="1">
      <c r="A32" s="25" t="s">
        <v>659</v>
      </c>
      <c r="B32" s="26">
        <f aca="true" t="shared" si="18" ref="B32:K32">SUM(B33:B42)</f>
        <v>0</v>
      </c>
      <c r="C32" s="26">
        <f t="shared" si="18"/>
        <v>0</v>
      </c>
      <c r="D32" s="26">
        <f t="shared" si="18"/>
        <v>0</v>
      </c>
      <c r="E32" s="26">
        <f t="shared" si="18"/>
        <v>0</v>
      </c>
      <c r="F32" s="40" t="e">
        <f t="shared" si="1"/>
        <v>#DIV/0!</v>
      </c>
      <c r="G32" s="26">
        <f t="shared" si="18"/>
        <v>3100</v>
      </c>
      <c r="H32" s="26">
        <f t="shared" si="18"/>
        <v>3100</v>
      </c>
      <c r="I32" s="26">
        <f t="shared" si="18"/>
        <v>0</v>
      </c>
      <c r="J32" s="26">
        <f t="shared" si="18"/>
        <v>0</v>
      </c>
      <c r="K32" s="26">
        <f t="shared" si="18"/>
        <v>0</v>
      </c>
      <c r="L32" s="41" t="e">
        <f t="shared" si="2"/>
        <v>#DIV/0!</v>
      </c>
      <c r="M32" s="5"/>
    </row>
    <row r="33" spans="1:13" ht="18" customHeight="1">
      <c r="A33" s="25" t="s">
        <v>660</v>
      </c>
      <c r="B33" s="11"/>
      <c r="C33" s="12"/>
      <c r="D33" s="12"/>
      <c r="E33" s="11">
        <f aca="true" t="shared" si="19" ref="E33:E42">C33+D33</f>
        <v>0</v>
      </c>
      <c r="F33" s="40" t="e">
        <f t="shared" si="1"/>
        <v>#DIV/0!</v>
      </c>
      <c r="G33" s="11">
        <f aca="true" t="shared" si="20" ref="G33:G42">SUM(H33:K33)</f>
        <v>0</v>
      </c>
      <c r="H33" s="21"/>
      <c r="I33" s="21"/>
      <c r="J33" s="21"/>
      <c r="K33" s="21"/>
      <c r="L33" s="41" t="e">
        <f t="shared" si="2"/>
        <v>#DIV/0!</v>
      </c>
      <c r="M33" s="5"/>
    </row>
    <row r="34" spans="1:13" ht="18" customHeight="1">
      <c r="A34" s="25" t="s">
        <v>661</v>
      </c>
      <c r="B34" s="11"/>
      <c r="C34" s="12"/>
      <c r="D34" s="12"/>
      <c r="E34" s="11">
        <f t="shared" si="19"/>
        <v>0</v>
      </c>
      <c r="F34" s="40" t="e">
        <f t="shared" si="1"/>
        <v>#DIV/0!</v>
      </c>
      <c r="G34" s="11">
        <f t="shared" si="20"/>
        <v>0</v>
      </c>
      <c r="H34" s="21"/>
      <c r="I34" s="21"/>
      <c r="J34" s="21"/>
      <c r="K34" s="21"/>
      <c r="L34" s="41" t="e">
        <f t="shared" si="2"/>
        <v>#DIV/0!</v>
      </c>
      <c r="M34" s="5"/>
    </row>
    <row r="35" spans="1:13" ht="18" customHeight="1">
      <c r="A35" s="25" t="s">
        <v>662</v>
      </c>
      <c r="B35" s="11"/>
      <c r="C35" s="12"/>
      <c r="D35" s="12"/>
      <c r="E35" s="11">
        <f t="shared" si="19"/>
        <v>0</v>
      </c>
      <c r="F35" s="40" t="e">
        <f t="shared" si="1"/>
        <v>#DIV/0!</v>
      </c>
      <c r="G35" s="11">
        <f t="shared" si="20"/>
        <v>1800</v>
      </c>
      <c r="H35" s="21">
        <v>1800</v>
      </c>
      <c r="I35" s="21"/>
      <c r="J35" s="21"/>
      <c r="K35" s="21"/>
      <c r="L35" s="41" t="e">
        <f t="shared" si="2"/>
        <v>#DIV/0!</v>
      </c>
      <c r="M35" s="5"/>
    </row>
    <row r="36" spans="1:13" ht="18" customHeight="1">
      <c r="A36" s="25" t="s">
        <v>663</v>
      </c>
      <c r="B36" s="11"/>
      <c r="C36" s="12"/>
      <c r="D36" s="12"/>
      <c r="E36" s="11">
        <f t="shared" si="19"/>
        <v>0</v>
      </c>
      <c r="F36" s="40" t="e">
        <f t="shared" si="1"/>
        <v>#DIV/0!</v>
      </c>
      <c r="G36" s="11">
        <f t="shared" si="20"/>
        <v>300</v>
      </c>
      <c r="H36" s="21">
        <v>300</v>
      </c>
      <c r="I36" s="21"/>
      <c r="J36" s="21"/>
      <c r="K36" s="21"/>
      <c r="L36" s="41" t="e">
        <f t="shared" si="2"/>
        <v>#DIV/0!</v>
      </c>
      <c r="M36" s="5"/>
    </row>
    <row r="37" spans="1:13" ht="18" customHeight="1">
      <c r="A37" s="25" t="s">
        <v>664</v>
      </c>
      <c r="B37" s="11"/>
      <c r="C37" s="12"/>
      <c r="D37" s="12"/>
      <c r="E37" s="11">
        <f t="shared" si="19"/>
        <v>0</v>
      </c>
      <c r="F37" s="40" t="e">
        <f t="shared" si="1"/>
        <v>#DIV/0!</v>
      </c>
      <c r="G37" s="11">
        <f t="shared" si="20"/>
        <v>0</v>
      </c>
      <c r="H37" s="21"/>
      <c r="I37" s="21"/>
      <c r="J37" s="21"/>
      <c r="K37" s="21"/>
      <c r="L37" s="41" t="e">
        <f t="shared" si="2"/>
        <v>#DIV/0!</v>
      </c>
      <c r="M37" s="5"/>
    </row>
    <row r="38" spans="1:13" ht="18" customHeight="1">
      <c r="A38" s="25" t="s">
        <v>665</v>
      </c>
      <c r="B38" s="11"/>
      <c r="C38" s="12"/>
      <c r="D38" s="12"/>
      <c r="E38" s="11">
        <f t="shared" si="19"/>
        <v>0</v>
      </c>
      <c r="F38" s="40" t="e">
        <f t="shared" si="1"/>
        <v>#DIV/0!</v>
      </c>
      <c r="G38" s="11">
        <f t="shared" si="20"/>
        <v>0</v>
      </c>
      <c r="H38" s="21"/>
      <c r="I38" s="21"/>
      <c r="J38" s="21"/>
      <c r="K38" s="21"/>
      <c r="L38" s="41" t="e">
        <f t="shared" si="2"/>
        <v>#DIV/0!</v>
      </c>
      <c r="M38" s="5"/>
    </row>
    <row r="39" spans="1:13" ht="18" customHeight="1">
      <c r="A39" s="25" t="s">
        <v>666</v>
      </c>
      <c r="B39" s="11"/>
      <c r="C39" s="12"/>
      <c r="D39" s="12"/>
      <c r="E39" s="11">
        <f t="shared" si="19"/>
        <v>0</v>
      </c>
      <c r="F39" s="40" t="e">
        <f t="shared" si="1"/>
        <v>#DIV/0!</v>
      </c>
      <c r="G39" s="11">
        <f t="shared" si="20"/>
        <v>1000</v>
      </c>
      <c r="H39" s="21">
        <v>1000</v>
      </c>
      <c r="I39" s="21"/>
      <c r="J39" s="21"/>
      <c r="K39" s="21"/>
      <c r="L39" s="41" t="e">
        <f t="shared" si="2"/>
        <v>#DIV/0!</v>
      </c>
      <c r="M39" s="5"/>
    </row>
    <row r="40" spans="1:13" ht="18" customHeight="1">
      <c r="A40" s="25" t="s">
        <v>667</v>
      </c>
      <c r="B40" s="26"/>
      <c r="C40" s="12"/>
      <c r="D40" s="12"/>
      <c r="E40" s="11">
        <f t="shared" si="19"/>
        <v>0</v>
      </c>
      <c r="F40" s="40" t="e">
        <f t="shared" si="1"/>
        <v>#DIV/0!</v>
      </c>
      <c r="G40" s="11">
        <f t="shared" si="20"/>
        <v>0</v>
      </c>
      <c r="H40" s="21"/>
      <c r="I40" s="21"/>
      <c r="J40" s="21"/>
      <c r="K40" s="21"/>
      <c r="L40" s="41" t="e">
        <f t="shared" si="2"/>
        <v>#DIV/0!</v>
      </c>
      <c r="M40" s="5"/>
    </row>
    <row r="41" spans="1:13" ht="18" customHeight="1">
      <c r="A41" s="25" t="s">
        <v>668</v>
      </c>
      <c r="B41" s="11"/>
      <c r="C41" s="12"/>
      <c r="D41" s="12"/>
      <c r="E41" s="11">
        <f t="shared" si="19"/>
        <v>0</v>
      </c>
      <c r="F41" s="40" t="e">
        <f t="shared" si="1"/>
        <v>#DIV/0!</v>
      </c>
      <c r="G41" s="11">
        <f t="shared" si="20"/>
        <v>0</v>
      </c>
      <c r="H41" s="21"/>
      <c r="I41" s="21"/>
      <c r="J41" s="21"/>
      <c r="K41" s="21"/>
      <c r="L41" s="41" t="e">
        <f t="shared" si="2"/>
        <v>#DIV/0!</v>
      </c>
      <c r="M41" s="5"/>
    </row>
    <row r="42" spans="1:13" ht="18" customHeight="1">
      <c r="A42" s="25" t="s">
        <v>669</v>
      </c>
      <c r="B42" s="11"/>
      <c r="C42" s="12"/>
      <c r="D42" s="12"/>
      <c r="E42" s="11">
        <f t="shared" si="19"/>
        <v>0</v>
      </c>
      <c r="F42" s="40" t="e">
        <f t="shared" si="1"/>
        <v>#DIV/0!</v>
      </c>
      <c r="G42" s="11">
        <f t="shared" si="20"/>
        <v>0</v>
      </c>
      <c r="H42" s="21"/>
      <c r="I42" s="21"/>
      <c r="J42" s="21"/>
      <c r="K42" s="21"/>
      <c r="L42" s="41" t="e">
        <f t="shared" si="2"/>
        <v>#DIV/0!</v>
      </c>
      <c r="M42" s="5"/>
    </row>
    <row r="43" spans="1:13" ht="18" customHeight="1">
      <c r="A43" s="25" t="s">
        <v>670</v>
      </c>
      <c r="B43" s="11">
        <f aca="true" t="shared" si="21" ref="B43:K43">SUM(B44:B46)</f>
        <v>0</v>
      </c>
      <c r="C43" s="11">
        <f t="shared" si="21"/>
        <v>0</v>
      </c>
      <c r="D43" s="11">
        <f t="shared" si="21"/>
        <v>0</v>
      </c>
      <c r="E43" s="11">
        <f t="shared" si="21"/>
        <v>0</v>
      </c>
      <c r="F43" s="40" t="e">
        <f t="shared" si="1"/>
        <v>#DIV/0!</v>
      </c>
      <c r="G43" s="11">
        <f t="shared" si="21"/>
        <v>0</v>
      </c>
      <c r="H43" s="11">
        <f t="shared" si="21"/>
        <v>0</v>
      </c>
      <c r="I43" s="11">
        <f t="shared" si="21"/>
        <v>0</v>
      </c>
      <c r="J43" s="11">
        <f t="shared" si="21"/>
        <v>0</v>
      </c>
      <c r="K43" s="11">
        <f t="shared" si="21"/>
        <v>0</v>
      </c>
      <c r="L43" s="41" t="e">
        <f t="shared" si="2"/>
        <v>#DIV/0!</v>
      </c>
      <c r="M43" s="5"/>
    </row>
    <row r="44" spans="1:13" ht="18" customHeight="1">
      <c r="A44" s="25" t="s">
        <v>671</v>
      </c>
      <c r="B44" s="11"/>
      <c r="C44" s="12"/>
      <c r="D44" s="12"/>
      <c r="E44" s="11">
        <f aca="true" t="shared" si="22" ref="E44:E47">C44+D44</f>
        <v>0</v>
      </c>
      <c r="F44" s="40" t="e">
        <f t="shared" si="1"/>
        <v>#DIV/0!</v>
      </c>
      <c r="G44" s="11">
        <f aca="true" t="shared" si="23" ref="G44:G47">SUM(H44:K44)</f>
        <v>0</v>
      </c>
      <c r="H44" s="21"/>
      <c r="I44" s="21"/>
      <c r="J44" s="21"/>
      <c r="K44" s="21"/>
      <c r="L44" s="41" t="e">
        <f t="shared" si="2"/>
        <v>#DIV/0!</v>
      </c>
      <c r="M44" s="5"/>
    </row>
    <row r="45" spans="1:13" ht="18" customHeight="1">
      <c r="A45" s="25" t="s">
        <v>672</v>
      </c>
      <c r="B45" s="11"/>
      <c r="C45" s="12"/>
      <c r="D45" s="12"/>
      <c r="E45" s="11">
        <f t="shared" si="22"/>
        <v>0</v>
      </c>
      <c r="F45" s="40" t="e">
        <f t="shared" si="1"/>
        <v>#DIV/0!</v>
      </c>
      <c r="G45" s="11">
        <f t="shared" si="23"/>
        <v>0</v>
      </c>
      <c r="H45" s="21"/>
      <c r="I45" s="21"/>
      <c r="J45" s="21"/>
      <c r="K45" s="21"/>
      <c r="L45" s="41" t="e">
        <f t="shared" si="2"/>
        <v>#DIV/0!</v>
      </c>
      <c r="M45" s="5"/>
    </row>
    <row r="46" spans="1:13" ht="18" customHeight="1">
      <c r="A46" s="25" t="s">
        <v>673</v>
      </c>
      <c r="B46" s="11"/>
      <c r="C46" s="12"/>
      <c r="D46" s="12"/>
      <c r="E46" s="11">
        <f t="shared" si="22"/>
        <v>0</v>
      </c>
      <c r="F46" s="40" t="e">
        <f t="shared" si="1"/>
        <v>#DIV/0!</v>
      </c>
      <c r="G46" s="11">
        <f t="shared" si="23"/>
        <v>0</v>
      </c>
      <c r="H46" s="21"/>
      <c r="I46" s="21"/>
      <c r="J46" s="21"/>
      <c r="K46" s="21"/>
      <c r="L46" s="41" t="e">
        <f t="shared" si="2"/>
        <v>#DIV/0!</v>
      </c>
      <c r="M46" s="5"/>
    </row>
    <row r="47" spans="1:13" ht="18" customHeight="1">
      <c r="A47" s="109" t="s">
        <v>674</v>
      </c>
      <c r="B47" s="110"/>
      <c r="C47" s="112"/>
      <c r="D47" s="112"/>
      <c r="E47" s="11">
        <f t="shared" si="22"/>
        <v>0</v>
      </c>
      <c r="F47" s="40" t="e">
        <f t="shared" si="1"/>
        <v>#DIV/0!</v>
      </c>
      <c r="G47" s="11">
        <f t="shared" si="23"/>
        <v>75708</v>
      </c>
      <c r="H47" s="111">
        <f>E5+G5</f>
        <v>75708</v>
      </c>
      <c r="I47" s="111"/>
      <c r="J47" s="111"/>
      <c r="K47" s="111"/>
      <c r="L47" s="41" t="e">
        <f t="shared" si="2"/>
        <v>#DIV/0!</v>
      </c>
      <c r="M47" s="113">
        <v>44958</v>
      </c>
    </row>
    <row r="48" spans="1:13" ht="12.75">
      <c r="A48" s="25" t="s">
        <v>628</v>
      </c>
      <c r="B48" s="11"/>
      <c r="C48" s="12"/>
      <c r="D48" s="12"/>
      <c r="E48" s="11"/>
      <c r="F48" s="40"/>
      <c r="G48" s="11">
        <f>E5-E47+G5-G47</f>
        <v>0</v>
      </c>
      <c r="H48" s="21"/>
      <c r="I48" s="21"/>
      <c r="J48" s="21"/>
      <c r="K48" s="21"/>
      <c r="L48" s="41"/>
      <c r="M48" s="5"/>
    </row>
    <row r="49" spans="1:13" ht="12.75">
      <c r="A49" s="25"/>
      <c r="B49" s="11"/>
      <c r="C49" s="12"/>
      <c r="D49" s="12"/>
      <c r="E49" s="11"/>
      <c r="F49" s="40"/>
      <c r="G49" s="11"/>
      <c r="H49" s="12"/>
      <c r="I49" s="12"/>
      <c r="J49" s="12"/>
      <c r="K49" s="12"/>
      <c r="L49" s="41"/>
      <c r="M49" s="5"/>
    </row>
    <row r="50" spans="1:13" ht="12.75">
      <c r="A50" s="5"/>
      <c r="B50" s="5"/>
      <c r="C50" s="16"/>
      <c r="D50" s="4" t="s">
        <v>677</v>
      </c>
      <c r="E50" s="5"/>
      <c r="F50" s="5"/>
      <c r="G50" s="5"/>
      <c r="H50" s="16"/>
      <c r="I50" s="4" t="s">
        <v>678</v>
      </c>
      <c r="J50" s="5"/>
      <c r="K50" s="5"/>
      <c r="L50" s="5"/>
      <c r="M50" s="5"/>
    </row>
  </sheetData>
  <sheetProtection/>
  <mergeCells count="6">
    <mergeCell ref="A1:M1"/>
    <mergeCell ref="B3:F3"/>
    <mergeCell ref="G3:K3"/>
    <mergeCell ref="A3:A4"/>
    <mergeCell ref="L3:L4"/>
    <mergeCell ref="M3:M4"/>
  </mergeCells>
  <printOptions/>
  <pageMargins left="1.18" right="0.19" top="0.55" bottom="0.39" header="0.28" footer="0.16"/>
  <pageSetup fitToHeight="1" fitToWidth="1" horizontalDpi="300" verticalDpi="300" orientation="landscape" paperSize="9" scale="76"/>
  <legacyDrawing r:id="rId2"/>
</worksheet>
</file>

<file path=xl/worksheets/sheet23.xml><?xml version="1.0" encoding="utf-8"?>
<worksheet xmlns="http://schemas.openxmlformats.org/spreadsheetml/2006/main" xmlns:r="http://schemas.openxmlformats.org/officeDocument/2006/relationships">
  <sheetPr>
    <pageSetUpPr fitToPage="1"/>
  </sheetPr>
  <dimension ref="A1:M50"/>
  <sheetViews>
    <sheetView workbookViewId="0" topLeftCell="A1">
      <selection activeCell="A2" sqref="A2"/>
    </sheetView>
  </sheetViews>
  <sheetFormatPr defaultColWidth="9.140625" defaultRowHeight="12.75"/>
  <cols>
    <col min="1" max="1" width="30.28125" style="0" customWidth="1"/>
    <col min="2" max="2" width="13.140625" style="0" customWidth="1"/>
    <col min="3" max="3" width="10.7109375" style="0" customWidth="1"/>
    <col min="4" max="4" width="11.7109375" style="0" customWidth="1"/>
    <col min="5" max="6" width="10.7109375" style="0" customWidth="1"/>
    <col min="7" max="11" width="13.7109375" style="0" customWidth="1"/>
    <col min="12" max="13" width="10.7109375" style="0" customWidth="1"/>
  </cols>
  <sheetData>
    <row r="1" spans="1:13" ht="25.5" customHeight="1">
      <c r="A1" s="105" t="s">
        <v>687</v>
      </c>
      <c r="B1" s="23"/>
      <c r="C1" s="23" t="s">
        <v>598</v>
      </c>
      <c r="D1" s="23" t="s">
        <v>598</v>
      </c>
      <c r="E1" s="23" t="s">
        <v>598</v>
      </c>
      <c r="F1" s="23"/>
      <c r="G1" s="23" t="s">
        <v>598</v>
      </c>
      <c r="H1" s="23" t="s">
        <v>598</v>
      </c>
      <c r="I1" s="23" t="s">
        <v>598</v>
      </c>
      <c r="J1" s="23" t="s">
        <v>598</v>
      </c>
      <c r="K1" s="23" t="s">
        <v>598</v>
      </c>
      <c r="L1" s="23" t="s">
        <v>598</v>
      </c>
      <c r="M1" s="23" t="s">
        <v>598</v>
      </c>
    </row>
    <row r="2" spans="1:13" ht="18" customHeight="1">
      <c r="A2" s="106" t="s">
        <v>364</v>
      </c>
      <c r="B2" s="107"/>
      <c r="C2" s="45"/>
      <c r="D2" s="46"/>
      <c r="E2" s="47"/>
      <c r="F2" s="55"/>
      <c r="G2" s="24" t="s">
        <v>288</v>
      </c>
      <c r="H2" s="5"/>
      <c r="I2" s="5"/>
      <c r="J2" s="5"/>
      <c r="K2" s="5"/>
      <c r="L2" s="16" t="s">
        <v>599</v>
      </c>
      <c r="M2" s="5"/>
    </row>
    <row r="3" spans="1:13" ht="18" customHeight="1">
      <c r="A3" s="18" t="s">
        <v>290</v>
      </c>
      <c r="B3" s="90" t="s">
        <v>366</v>
      </c>
      <c r="C3" s="38"/>
      <c r="D3" s="38"/>
      <c r="E3" s="38"/>
      <c r="F3" s="39"/>
      <c r="G3" s="9" t="s">
        <v>292</v>
      </c>
      <c r="H3" s="9"/>
      <c r="I3" s="9" t="s">
        <v>292</v>
      </c>
      <c r="J3" s="9" t="s">
        <v>292</v>
      </c>
      <c r="K3" s="9" t="s">
        <v>292</v>
      </c>
      <c r="L3" s="9" t="s">
        <v>293</v>
      </c>
      <c r="M3" s="18" t="s">
        <v>33</v>
      </c>
    </row>
    <row r="4" spans="1:13" ht="18" customHeight="1">
      <c r="A4" s="18"/>
      <c r="B4" s="9" t="s">
        <v>294</v>
      </c>
      <c r="C4" s="9" t="s">
        <v>463</v>
      </c>
      <c r="D4" s="9" t="s">
        <v>296</v>
      </c>
      <c r="E4" s="9" t="s">
        <v>464</v>
      </c>
      <c r="F4" s="9" t="s">
        <v>299</v>
      </c>
      <c r="G4" s="9" t="s">
        <v>314</v>
      </c>
      <c r="H4" s="9" t="s">
        <v>324</v>
      </c>
      <c r="I4" s="9" t="s">
        <v>331</v>
      </c>
      <c r="J4" s="9" t="s">
        <v>334</v>
      </c>
      <c r="K4" s="9" t="s">
        <v>336</v>
      </c>
      <c r="L4" s="9" t="s">
        <v>293</v>
      </c>
      <c r="M4" s="18" t="s">
        <v>33</v>
      </c>
    </row>
    <row r="5" spans="1:13" ht="18" customHeight="1">
      <c r="A5" s="25" t="s">
        <v>632</v>
      </c>
      <c r="B5" s="11">
        <f aca="true" t="shared" si="0" ref="B5:K5">B6+B32+B43</f>
        <v>0</v>
      </c>
      <c r="C5" s="11">
        <f t="shared" si="0"/>
        <v>14729</v>
      </c>
      <c r="D5" s="11">
        <f t="shared" si="0"/>
        <v>11150.58</v>
      </c>
      <c r="E5" s="11">
        <f t="shared" si="0"/>
        <v>25879.579999999998</v>
      </c>
      <c r="F5" s="40" t="e">
        <f aca="true" t="shared" si="1" ref="F5:F47">E5/B5</f>
        <v>#DIV/0!</v>
      </c>
      <c r="G5" s="11">
        <f t="shared" si="0"/>
        <v>86887</v>
      </c>
      <c r="H5" s="11">
        <f t="shared" si="0"/>
        <v>21721.75</v>
      </c>
      <c r="I5" s="11">
        <f t="shared" si="0"/>
        <v>21721.75</v>
      </c>
      <c r="J5" s="11">
        <f t="shared" si="0"/>
        <v>21721.75</v>
      </c>
      <c r="K5" s="11">
        <f t="shared" si="0"/>
        <v>21721.75</v>
      </c>
      <c r="L5" s="41">
        <f aca="true" t="shared" si="2" ref="L5:L47">G5/E5</f>
        <v>3.357357422338384</v>
      </c>
      <c r="M5" s="5"/>
    </row>
    <row r="6" spans="1:13" ht="18" customHeight="1">
      <c r="A6" s="25" t="s">
        <v>633</v>
      </c>
      <c r="B6" s="11">
        <f aca="true" t="shared" si="3" ref="B6:K6">B7+B26+B27</f>
        <v>0</v>
      </c>
      <c r="C6" s="11">
        <f t="shared" si="3"/>
        <v>14729</v>
      </c>
      <c r="D6" s="11">
        <f t="shared" si="3"/>
        <v>10620</v>
      </c>
      <c r="E6" s="11">
        <f t="shared" si="3"/>
        <v>25349</v>
      </c>
      <c r="F6" s="40" t="e">
        <f t="shared" si="1"/>
        <v>#DIV/0!</v>
      </c>
      <c r="G6" s="11">
        <f t="shared" si="3"/>
        <v>80600</v>
      </c>
      <c r="H6" s="11">
        <f t="shared" si="3"/>
        <v>20150</v>
      </c>
      <c r="I6" s="11">
        <f t="shared" si="3"/>
        <v>20150</v>
      </c>
      <c r="J6" s="11">
        <f t="shared" si="3"/>
        <v>20150</v>
      </c>
      <c r="K6" s="11">
        <f t="shared" si="3"/>
        <v>20150</v>
      </c>
      <c r="L6" s="41">
        <f t="shared" si="2"/>
        <v>3.179612607992426</v>
      </c>
      <c r="M6" s="5"/>
    </row>
    <row r="7" spans="1:13" ht="18" customHeight="1">
      <c r="A7" s="72" t="s">
        <v>634</v>
      </c>
      <c r="B7" s="11">
        <f aca="true" t="shared" si="4" ref="B7:K7">B8+B16+B20+B23+B24+B25</f>
        <v>0</v>
      </c>
      <c r="C7" s="11">
        <f t="shared" si="4"/>
        <v>0</v>
      </c>
      <c r="D7" s="11">
        <f t="shared" si="4"/>
        <v>0</v>
      </c>
      <c r="E7" s="11">
        <f t="shared" si="4"/>
        <v>0</v>
      </c>
      <c r="F7" s="40" t="e">
        <f t="shared" si="1"/>
        <v>#DIV/0!</v>
      </c>
      <c r="G7" s="11">
        <f t="shared" si="4"/>
        <v>0</v>
      </c>
      <c r="H7" s="11">
        <f t="shared" si="4"/>
        <v>0</v>
      </c>
      <c r="I7" s="11">
        <f t="shared" si="4"/>
        <v>0</v>
      </c>
      <c r="J7" s="11">
        <f t="shared" si="4"/>
        <v>0</v>
      </c>
      <c r="K7" s="11">
        <f t="shared" si="4"/>
        <v>0</v>
      </c>
      <c r="L7" s="41" t="e">
        <f t="shared" si="2"/>
        <v>#DIV/0!</v>
      </c>
      <c r="M7" s="5"/>
    </row>
    <row r="8" spans="1:13" ht="18" customHeight="1">
      <c r="A8" s="72" t="s">
        <v>635</v>
      </c>
      <c r="B8" s="11">
        <f aca="true" t="shared" si="5" ref="B8:K8">B9+B10+B14+B15</f>
        <v>0</v>
      </c>
      <c r="C8" s="11">
        <f t="shared" si="5"/>
        <v>0</v>
      </c>
      <c r="D8" s="11">
        <f t="shared" si="5"/>
        <v>0</v>
      </c>
      <c r="E8" s="11">
        <f t="shared" si="5"/>
        <v>0</v>
      </c>
      <c r="F8" s="40" t="e">
        <f t="shared" si="1"/>
        <v>#DIV/0!</v>
      </c>
      <c r="G8" s="11">
        <f t="shared" si="5"/>
        <v>0</v>
      </c>
      <c r="H8" s="11">
        <f t="shared" si="5"/>
        <v>0</v>
      </c>
      <c r="I8" s="11">
        <f t="shared" si="5"/>
        <v>0</v>
      </c>
      <c r="J8" s="11">
        <f t="shared" si="5"/>
        <v>0</v>
      </c>
      <c r="K8" s="11">
        <f t="shared" si="5"/>
        <v>0</v>
      </c>
      <c r="L8" s="41" t="e">
        <f t="shared" si="2"/>
        <v>#DIV/0!</v>
      </c>
      <c r="M8" s="5"/>
    </row>
    <row r="9" spans="1:13" ht="18" customHeight="1">
      <c r="A9" s="72" t="s">
        <v>636</v>
      </c>
      <c r="B9" s="11"/>
      <c r="C9" s="15"/>
      <c r="D9" s="12"/>
      <c r="E9" s="11">
        <f aca="true" t="shared" si="6" ref="E9:E15">C9+D9</f>
        <v>0</v>
      </c>
      <c r="F9" s="40" t="e">
        <f t="shared" si="1"/>
        <v>#DIV/0!</v>
      </c>
      <c r="G9" s="11">
        <f aca="true" t="shared" si="7" ref="G9:G15">SUM(H9:K9)</f>
        <v>0</v>
      </c>
      <c r="H9" s="12"/>
      <c r="I9" s="12"/>
      <c r="J9" s="12"/>
      <c r="K9" s="12"/>
      <c r="L9" s="41" t="e">
        <f t="shared" si="2"/>
        <v>#DIV/0!</v>
      </c>
      <c r="M9" s="5"/>
    </row>
    <row r="10" spans="1:13" ht="18" customHeight="1">
      <c r="A10" s="72" t="s">
        <v>637</v>
      </c>
      <c r="B10" s="11">
        <f aca="true" t="shared" si="8" ref="B10:K10">SUM(B11:B13)</f>
        <v>0</v>
      </c>
      <c r="C10" s="11">
        <f t="shared" si="8"/>
        <v>0</v>
      </c>
      <c r="D10" s="11">
        <f t="shared" si="8"/>
        <v>0</v>
      </c>
      <c r="E10" s="11">
        <f t="shared" si="8"/>
        <v>0</v>
      </c>
      <c r="F10" s="40" t="e">
        <f t="shared" si="1"/>
        <v>#DIV/0!</v>
      </c>
      <c r="G10" s="11">
        <f t="shared" si="8"/>
        <v>0</v>
      </c>
      <c r="H10" s="11">
        <f t="shared" si="8"/>
        <v>0</v>
      </c>
      <c r="I10" s="11">
        <f t="shared" si="8"/>
        <v>0</v>
      </c>
      <c r="J10" s="11">
        <f t="shared" si="8"/>
        <v>0</v>
      </c>
      <c r="K10" s="11">
        <f t="shared" si="8"/>
        <v>0</v>
      </c>
      <c r="L10" s="41" t="e">
        <f t="shared" si="2"/>
        <v>#DIV/0!</v>
      </c>
      <c r="M10" s="5"/>
    </row>
    <row r="11" spans="1:13" ht="18" customHeight="1">
      <c r="A11" s="75" t="s">
        <v>638</v>
      </c>
      <c r="B11" s="11"/>
      <c r="C11" s="15"/>
      <c r="D11" s="12"/>
      <c r="E11" s="11">
        <f t="shared" si="6"/>
        <v>0</v>
      </c>
      <c r="F11" s="40" t="e">
        <f t="shared" si="1"/>
        <v>#DIV/0!</v>
      </c>
      <c r="G11" s="11">
        <f t="shared" si="7"/>
        <v>0</v>
      </c>
      <c r="H11" s="12"/>
      <c r="I11" s="12"/>
      <c r="J11" s="12"/>
      <c r="K11" s="12"/>
      <c r="L11" s="41" t="e">
        <f t="shared" si="2"/>
        <v>#DIV/0!</v>
      </c>
      <c r="M11" s="5"/>
    </row>
    <row r="12" spans="1:13" ht="18" customHeight="1">
      <c r="A12" s="75" t="s">
        <v>639</v>
      </c>
      <c r="B12" s="11"/>
      <c r="C12" s="15"/>
      <c r="D12" s="12"/>
      <c r="E12" s="11">
        <f t="shared" si="6"/>
        <v>0</v>
      </c>
      <c r="F12" s="40" t="e">
        <f t="shared" si="1"/>
        <v>#DIV/0!</v>
      </c>
      <c r="G12" s="11">
        <f t="shared" si="7"/>
        <v>0</v>
      </c>
      <c r="H12" s="12"/>
      <c r="I12" s="12"/>
      <c r="J12" s="12"/>
      <c r="K12" s="12"/>
      <c r="L12" s="41" t="e">
        <f t="shared" si="2"/>
        <v>#DIV/0!</v>
      </c>
      <c r="M12" s="5"/>
    </row>
    <row r="13" spans="1:13" ht="18" customHeight="1">
      <c r="A13" s="75" t="s">
        <v>640</v>
      </c>
      <c r="B13" s="11"/>
      <c r="C13" s="15"/>
      <c r="D13" s="12"/>
      <c r="E13" s="11">
        <f t="shared" si="6"/>
        <v>0</v>
      </c>
      <c r="F13" s="40" t="e">
        <f t="shared" si="1"/>
        <v>#DIV/0!</v>
      </c>
      <c r="G13" s="11">
        <f t="shared" si="7"/>
        <v>0</v>
      </c>
      <c r="H13" s="12"/>
      <c r="I13" s="12"/>
      <c r="J13" s="12"/>
      <c r="K13" s="12"/>
      <c r="L13" s="41" t="e">
        <f t="shared" si="2"/>
        <v>#DIV/0!</v>
      </c>
      <c r="M13" s="5"/>
    </row>
    <row r="14" spans="1:13" ht="18" customHeight="1">
      <c r="A14" s="72" t="s">
        <v>641</v>
      </c>
      <c r="B14" s="11"/>
      <c r="C14" s="15"/>
      <c r="D14" s="12"/>
      <c r="E14" s="11">
        <f t="shared" si="6"/>
        <v>0</v>
      </c>
      <c r="F14" s="40" t="e">
        <f t="shared" si="1"/>
        <v>#DIV/0!</v>
      </c>
      <c r="G14" s="11">
        <f t="shared" si="7"/>
        <v>0</v>
      </c>
      <c r="H14" s="12"/>
      <c r="I14" s="12"/>
      <c r="J14" s="12"/>
      <c r="K14" s="12"/>
      <c r="L14" s="41" t="e">
        <f t="shared" si="2"/>
        <v>#DIV/0!</v>
      </c>
      <c r="M14" s="5"/>
    </row>
    <row r="15" spans="1:13" ht="18" customHeight="1">
      <c r="A15" s="72" t="s">
        <v>642</v>
      </c>
      <c r="B15" s="11"/>
      <c r="C15" s="15"/>
      <c r="D15" s="12"/>
      <c r="E15" s="11">
        <f t="shared" si="6"/>
        <v>0</v>
      </c>
      <c r="F15" s="40" t="e">
        <f t="shared" si="1"/>
        <v>#DIV/0!</v>
      </c>
      <c r="G15" s="11">
        <f t="shared" si="7"/>
        <v>0</v>
      </c>
      <c r="H15" s="12"/>
      <c r="I15" s="12"/>
      <c r="J15" s="12"/>
      <c r="K15" s="12"/>
      <c r="L15" s="41" t="e">
        <f t="shared" si="2"/>
        <v>#DIV/0!</v>
      </c>
      <c r="M15" s="5"/>
    </row>
    <row r="16" spans="1:13" ht="18" customHeight="1">
      <c r="A16" s="72" t="s">
        <v>643</v>
      </c>
      <c r="B16" s="11">
        <f aca="true" t="shared" si="9" ref="B16:K16">SUM(B17:B19)</f>
        <v>0</v>
      </c>
      <c r="C16" s="11">
        <f t="shared" si="9"/>
        <v>0</v>
      </c>
      <c r="D16" s="11">
        <f t="shared" si="9"/>
        <v>0</v>
      </c>
      <c r="E16" s="11">
        <f t="shared" si="9"/>
        <v>0</v>
      </c>
      <c r="F16" s="40" t="e">
        <f t="shared" si="1"/>
        <v>#DIV/0!</v>
      </c>
      <c r="G16" s="11">
        <f t="shared" si="9"/>
        <v>0</v>
      </c>
      <c r="H16" s="11">
        <f t="shared" si="9"/>
        <v>0</v>
      </c>
      <c r="I16" s="11">
        <f t="shared" si="9"/>
        <v>0</v>
      </c>
      <c r="J16" s="11">
        <f t="shared" si="9"/>
        <v>0</v>
      </c>
      <c r="K16" s="11">
        <f t="shared" si="9"/>
        <v>0</v>
      </c>
      <c r="L16" s="41" t="e">
        <f t="shared" si="2"/>
        <v>#DIV/0!</v>
      </c>
      <c r="M16" s="5"/>
    </row>
    <row r="17" spans="1:13" ht="18" customHeight="1">
      <c r="A17" s="72" t="s">
        <v>644</v>
      </c>
      <c r="B17" s="11"/>
      <c r="C17" s="15"/>
      <c r="D17" s="12"/>
      <c r="E17" s="11">
        <f aca="true" t="shared" si="10" ref="E17:E19">C17+D17</f>
        <v>0</v>
      </c>
      <c r="F17" s="40" t="e">
        <f t="shared" si="1"/>
        <v>#DIV/0!</v>
      </c>
      <c r="G17" s="11">
        <f aca="true" t="shared" si="11" ref="G17:G19">SUM(H17:K17)</f>
        <v>0</v>
      </c>
      <c r="H17" s="12"/>
      <c r="I17" s="12"/>
      <c r="J17" s="12"/>
      <c r="K17" s="12"/>
      <c r="L17" s="41" t="e">
        <f t="shared" si="2"/>
        <v>#DIV/0!</v>
      </c>
      <c r="M17" s="5"/>
    </row>
    <row r="18" spans="1:13" ht="18" customHeight="1">
      <c r="A18" s="72" t="s">
        <v>645</v>
      </c>
      <c r="B18" s="11"/>
      <c r="C18" s="15"/>
      <c r="D18" s="12"/>
      <c r="E18" s="11">
        <f t="shared" si="10"/>
        <v>0</v>
      </c>
      <c r="F18" s="40" t="e">
        <f t="shared" si="1"/>
        <v>#DIV/0!</v>
      </c>
      <c r="G18" s="11">
        <f t="shared" si="11"/>
        <v>0</v>
      </c>
      <c r="H18" s="12"/>
      <c r="I18" s="12"/>
      <c r="J18" s="12"/>
      <c r="K18" s="12"/>
      <c r="L18" s="41" t="e">
        <f t="shared" si="2"/>
        <v>#DIV/0!</v>
      </c>
      <c r="M18" s="5"/>
    </row>
    <row r="19" spans="1:13" ht="18" customHeight="1">
      <c r="A19" s="72" t="s">
        <v>646</v>
      </c>
      <c r="B19" s="11"/>
      <c r="C19" s="15"/>
      <c r="D19" s="12"/>
      <c r="E19" s="11">
        <f t="shared" si="10"/>
        <v>0</v>
      </c>
      <c r="F19" s="40" t="e">
        <f t="shared" si="1"/>
        <v>#DIV/0!</v>
      </c>
      <c r="G19" s="11">
        <f t="shared" si="11"/>
        <v>0</v>
      </c>
      <c r="H19" s="12"/>
      <c r="I19" s="12"/>
      <c r="J19" s="12"/>
      <c r="K19" s="12"/>
      <c r="L19" s="41" t="e">
        <f t="shared" si="2"/>
        <v>#DIV/0!</v>
      </c>
      <c r="M19" s="5"/>
    </row>
    <row r="20" spans="1:13" ht="18" customHeight="1">
      <c r="A20" s="72" t="s">
        <v>647</v>
      </c>
      <c r="B20" s="11">
        <f aca="true" t="shared" si="12" ref="B20:K20">SUM(B21:B22)</f>
        <v>0</v>
      </c>
      <c r="C20" s="11">
        <f t="shared" si="12"/>
        <v>0</v>
      </c>
      <c r="D20" s="11">
        <f t="shared" si="12"/>
        <v>0</v>
      </c>
      <c r="E20" s="11">
        <f t="shared" si="12"/>
        <v>0</v>
      </c>
      <c r="F20" s="40" t="e">
        <f t="shared" si="1"/>
        <v>#DIV/0!</v>
      </c>
      <c r="G20" s="11">
        <f t="shared" si="12"/>
        <v>0</v>
      </c>
      <c r="H20" s="11">
        <f t="shared" si="12"/>
        <v>0</v>
      </c>
      <c r="I20" s="11">
        <f t="shared" si="12"/>
        <v>0</v>
      </c>
      <c r="J20" s="11">
        <f t="shared" si="12"/>
        <v>0</v>
      </c>
      <c r="K20" s="11">
        <f t="shared" si="12"/>
        <v>0</v>
      </c>
      <c r="L20" s="41" t="e">
        <f t="shared" si="2"/>
        <v>#DIV/0!</v>
      </c>
      <c r="M20" s="5"/>
    </row>
    <row r="21" spans="1:13" ht="18" customHeight="1">
      <c r="A21" s="72" t="s">
        <v>648</v>
      </c>
      <c r="B21" s="11"/>
      <c r="C21" s="15"/>
      <c r="D21" s="12"/>
      <c r="E21" s="11">
        <f aca="true" t="shared" si="13" ref="E21:E26">C21+D21</f>
        <v>0</v>
      </c>
      <c r="F21" s="40" t="e">
        <f t="shared" si="1"/>
        <v>#DIV/0!</v>
      </c>
      <c r="G21" s="11">
        <f aca="true" t="shared" si="14" ref="G21:G26">SUM(H21:K21)</f>
        <v>0</v>
      </c>
      <c r="H21" s="12"/>
      <c r="I21" s="12"/>
      <c r="J21" s="12"/>
      <c r="K21" s="12"/>
      <c r="L21" s="41" t="e">
        <f t="shared" si="2"/>
        <v>#DIV/0!</v>
      </c>
      <c r="M21" s="5"/>
    </row>
    <row r="22" spans="1:13" ht="18" customHeight="1">
      <c r="A22" s="72" t="s">
        <v>649</v>
      </c>
      <c r="B22" s="11"/>
      <c r="C22" s="15"/>
      <c r="D22" s="12"/>
      <c r="E22" s="11">
        <f t="shared" si="13"/>
        <v>0</v>
      </c>
      <c r="F22" s="40" t="e">
        <f t="shared" si="1"/>
        <v>#DIV/0!</v>
      </c>
      <c r="G22" s="11">
        <f t="shared" si="14"/>
        <v>0</v>
      </c>
      <c r="H22" s="12"/>
      <c r="I22" s="12"/>
      <c r="J22" s="12"/>
      <c r="K22" s="12"/>
      <c r="L22" s="41" t="e">
        <f t="shared" si="2"/>
        <v>#DIV/0!</v>
      </c>
      <c r="M22" s="5"/>
    </row>
    <row r="23" spans="1:13" ht="18" customHeight="1">
      <c r="A23" s="72" t="s">
        <v>650</v>
      </c>
      <c r="B23" s="11"/>
      <c r="C23" s="15"/>
      <c r="D23" s="12"/>
      <c r="E23" s="11">
        <f t="shared" si="13"/>
        <v>0</v>
      </c>
      <c r="F23" s="40" t="e">
        <f t="shared" si="1"/>
        <v>#DIV/0!</v>
      </c>
      <c r="G23" s="11">
        <f t="shared" si="14"/>
        <v>0</v>
      </c>
      <c r="H23" s="12"/>
      <c r="I23" s="12"/>
      <c r="J23" s="12"/>
      <c r="K23" s="12"/>
      <c r="L23" s="41" t="e">
        <f t="shared" si="2"/>
        <v>#DIV/0!</v>
      </c>
      <c r="M23" s="5"/>
    </row>
    <row r="24" spans="1:13" ht="18" customHeight="1">
      <c r="A24" s="72" t="s">
        <v>651</v>
      </c>
      <c r="B24" s="11"/>
      <c r="C24" s="15"/>
      <c r="D24" s="12"/>
      <c r="E24" s="11">
        <f t="shared" si="13"/>
        <v>0</v>
      </c>
      <c r="F24" s="40" t="e">
        <f t="shared" si="1"/>
        <v>#DIV/0!</v>
      </c>
      <c r="G24" s="11">
        <f t="shared" si="14"/>
        <v>0</v>
      </c>
      <c r="H24" s="12"/>
      <c r="I24" s="12"/>
      <c r="J24" s="12"/>
      <c r="K24" s="12"/>
      <c r="L24" s="41" t="e">
        <f t="shared" si="2"/>
        <v>#DIV/0!</v>
      </c>
      <c r="M24" s="5"/>
    </row>
    <row r="25" spans="1:13" ht="18" customHeight="1">
      <c r="A25" s="72" t="s">
        <v>652</v>
      </c>
      <c r="B25" s="11"/>
      <c r="C25" s="15"/>
      <c r="D25" s="12"/>
      <c r="E25" s="11">
        <f t="shared" si="13"/>
        <v>0</v>
      </c>
      <c r="F25" s="40" t="e">
        <f t="shared" si="1"/>
        <v>#DIV/0!</v>
      </c>
      <c r="G25" s="11">
        <f t="shared" si="14"/>
        <v>0</v>
      </c>
      <c r="H25" s="12"/>
      <c r="I25" s="12"/>
      <c r="J25" s="12"/>
      <c r="K25" s="12"/>
      <c r="L25" s="41" t="e">
        <f t="shared" si="2"/>
        <v>#DIV/0!</v>
      </c>
      <c r="M25" s="5"/>
    </row>
    <row r="26" spans="1:13" ht="18" customHeight="1">
      <c r="A26" s="108" t="s">
        <v>653</v>
      </c>
      <c r="B26" s="11"/>
      <c r="C26" s="11">
        <v>1050</v>
      </c>
      <c r="D26" s="21">
        <f>4560+4560+1500</f>
        <v>10620</v>
      </c>
      <c r="E26" s="11">
        <f t="shared" si="13"/>
        <v>11670</v>
      </c>
      <c r="F26" s="40" t="e">
        <f t="shared" si="1"/>
        <v>#DIV/0!</v>
      </c>
      <c r="G26" s="11">
        <f t="shared" si="14"/>
        <v>20000</v>
      </c>
      <c r="H26" s="21">
        <v>5000</v>
      </c>
      <c r="I26" s="21">
        <v>5000</v>
      </c>
      <c r="J26" s="21">
        <v>5000</v>
      </c>
      <c r="K26" s="21">
        <v>5000</v>
      </c>
      <c r="L26" s="41">
        <f t="shared" si="2"/>
        <v>1.713796058269066</v>
      </c>
      <c r="M26" s="5"/>
    </row>
    <row r="27" spans="1:13" ht="18" customHeight="1">
      <c r="A27" s="108" t="s">
        <v>654</v>
      </c>
      <c r="B27" s="11">
        <f aca="true" t="shared" si="15" ref="B27:K27">SUM(B28:B31)</f>
        <v>0</v>
      </c>
      <c r="C27" s="11">
        <f t="shared" si="15"/>
        <v>13679</v>
      </c>
      <c r="D27" s="11">
        <f t="shared" si="15"/>
        <v>0</v>
      </c>
      <c r="E27" s="11">
        <f t="shared" si="15"/>
        <v>13679</v>
      </c>
      <c r="F27" s="40" t="e">
        <f t="shared" si="1"/>
        <v>#DIV/0!</v>
      </c>
      <c r="G27" s="11">
        <f t="shared" si="15"/>
        <v>60600</v>
      </c>
      <c r="H27" s="11">
        <f t="shared" si="15"/>
        <v>15150</v>
      </c>
      <c r="I27" s="11">
        <f t="shared" si="15"/>
        <v>15150</v>
      </c>
      <c r="J27" s="11">
        <f t="shared" si="15"/>
        <v>15150</v>
      </c>
      <c r="K27" s="11">
        <f t="shared" si="15"/>
        <v>15150</v>
      </c>
      <c r="L27" s="41">
        <f t="shared" si="2"/>
        <v>4.430148402661013</v>
      </c>
      <c r="M27" s="5"/>
    </row>
    <row r="28" spans="1:13" ht="18" customHeight="1">
      <c r="A28" s="108" t="s">
        <v>655</v>
      </c>
      <c r="B28" s="11"/>
      <c r="C28" s="11">
        <v>13098</v>
      </c>
      <c r="D28" s="21"/>
      <c r="E28" s="11">
        <f aca="true" t="shared" si="16" ref="E28:E31">C28+D28</f>
        <v>13098</v>
      </c>
      <c r="F28" s="40" t="e">
        <f t="shared" si="1"/>
        <v>#DIV/0!</v>
      </c>
      <c r="G28" s="11">
        <f aca="true" t="shared" si="17" ref="G28:G31">SUM(H28:K28)</f>
        <v>40000</v>
      </c>
      <c r="H28" s="21">
        <v>10000</v>
      </c>
      <c r="I28" s="21">
        <v>10000</v>
      </c>
      <c r="J28" s="21">
        <v>10000</v>
      </c>
      <c r="K28" s="21">
        <v>10000</v>
      </c>
      <c r="L28" s="41">
        <f t="shared" si="2"/>
        <v>3.0539013589861046</v>
      </c>
      <c r="M28" s="5"/>
    </row>
    <row r="29" spans="1:13" ht="18" customHeight="1">
      <c r="A29" s="108" t="s">
        <v>656</v>
      </c>
      <c r="B29" s="11"/>
      <c r="C29" s="11"/>
      <c r="D29" s="21"/>
      <c r="E29" s="11">
        <f t="shared" si="16"/>
        <v>0</v>
      </c>
      <c r="F29" s="40" t="e">
        <f t="shared" si="1"/>
        <v>#DIV/0!</v>
      </c>
      <c r="G29" s="11">
        <f t="shared" si="17"/>
        <v>20000</v>
      </c>
      <c r="H29" s="21">
        <v>5000</v>
      </c>
      <c r="I29" s="21">
        <v>5000</v>
      </c>
      <c r="J29" s="21">
        <v>5000</v>
      </c>
      <c r="K29" s="21">
        <v>5000</v>
      </c>
      <c r="L29" s="41" t="e">
        <f t="shared" si="2"/>
        <v>#DIV/0!</v>
      </c>
      <c r="M29" s="5"/>
    </row>
    <row r="30" spans="1:13" ht="18" customHeight="1">
      <c r="A30" s="108" t="s">
        <v>657</v>
      </c>
      <c r="B30" s="11"/>
      <c r="C30" s="11"/>
      <c r="D30" s="21"/>
      <c r="E30" s="11">
        <f t="shared" si="16"/>
        <v>0</v>
      </c>
      <c r="F30" s="40" t="e">
        <f t="shared" si="1"/>
        <v>#DIV/0!</v>
      </c>
      <c r="G30" s="11">
        <f t="shared" si="17"/>
        <v>600</v>
      </c>
      <c r="H30" s="21">
        <v>150</v>
      </c>
      <c r="I30" s="21">
        <v>150</v>
      </c>
      <c r="J30" s="21">
        <v>150</v>
      </c>
      <c r="K30" s="21">
        <v>150</v>
      </c>
      <c r="L30" s="41" t="e">
        <f t="shared" si="2"/>
        <v>#DIV/0!</v>
      </c>
      <c r="M30" s="5"/>
    </row>
    <row r="31" spans="1:13" ht="18" customHeight="1">
      <c r="A31" s="108" t="s">
        <v>658</v>
      </c>
      <c r="B31" s="11"/>
      <c r="C31" s="11">
        <v>581</v>
      </c>
      <c r="D31" s="21"/>
      <c r="E31" s="11">
        <f t="shared" si="16"/>
        <v>581</v>
      </c>
      <c r="F31" s="40" t="e">
        <f t="shared" si="1"/>
        <v>#DIV/0!</v>
      </c>
      <c r="G31" s="11">
        <f t="shared" si="17"/>
        <v>0</v>
      </c>
      <c r="H31" s="21"/>
      <c r="I31" s="21"/>
      <c r="J31" s="21"/>
      <c r="K31" s="21"/>
      <c r="L31" s="41">
        <f t="shared" si="2"/>
        <v>0</v>
      </c>
      <c r="M31" s="5"/>
    </row>
    <row r="32" spans="1:13" ht="18" customHeight="1">
      <c r="A32" s="25" t="s">
        <v>659</v>
      </c>
      <c r="B32" s="26">
        <f aca="true" t="shared" si="18" ref="B32:K32">SUM(B33:B42)</f>
        <v>0</v>
      </c>
      <c r="C32" s="26">
        <f t="shared" si="18"/>
        <v>0</v>
      </c>
      <c r="D32" s="26">
        <f t="shared" si="18"/>
        <v>89.22999999999999</v>
      </c>
      <c r="E32" s="26">
        <f t="shared" si="18"/>
        <v>89.22999999999999</v>
      </c>
      <c r="F32" s="40" t="e">
        <f t="shared" si="1"/>
        <v>#DIV/0!</v>
      </c>
      <c r="G32" s="26">
        <f t="shared" si="18"/>
        <v>5000</v>
      </c>
      <c r="H32" s="26">
        <f t="shared" si="18"/>
        <v>1250</v>
      </c>
      <c r="I32" s="26">
        <f t="shared" si="18"/>
        <v>1250</v>
      </c>
      <c r="J32" s="26">
        <f t="shared" si="18"/>
        <v>1250</v>
      </c>
      <c r="K32" s="26">
        <f t="shared" si="18"/>
        <v>1250</v>
      </c>
      <c r="L32" s="41">
        <f t="shared" si="2"/>
        <v>56.034965818670855</v>
      </c>
      <c r="M32" s="5"/>
    </row>
    <row r="33" spans="1:13" ht="18" customHeight="1">
      <c r="A33" s="25" t="s">
        <v>660</v>
      </c>
      <c r="B33" s="11"/>
      <c r="C33" s="12"/>
      <c r="D33" s="21"/>
      <c r="E33" s="11">
        <f aca="true" t="shared" si="19" ref="E33:E42">C33+D33</f>
        <v>0</v>
      </c>
      <c r="F33" s="40" t="e">
        <f t="shared" si="1"/>
        <v>#DIV/0!</v>
      </c>
      <c r="G33" s="11">
        <f aca="true" t="shared" si="20" ref="G33:G42">SUM(H33:K33)</f>
        <v>0</v>
      </c>
      <c r="H33" s="21"/>
      <c r="I33" s="21"/>
      <c r="J33" s="21"/>
      <c r="K33" s="21"/>
      <c r="L33" s="41" t="e">
        <f t="shared" si="2"/>
        <v>#DIV/0!</v>
      </c>
      <c r="M33" s="5"/>
    </row>
    <row r="34" spans="1:13" ht="18" customHeight="1">
      <c r="A34" s="25" t="s">
        <v>661</v>
      </c>
      <c r="B34" s="11"/>
      <c r="C34" s="12"/>
      <c r="D34" s="21"/>
      <c r="E34" s="11">
        <f t="shared" si="19"/>
        <v>0</v>
      </c>
      <c r="F34" s="40" t="e">
        <f t="shared" si="1"/>
        <v>#DIV/0!</v>
      </c>
      <c r="G34" s="11">
        <f t="shared" si="20"/>
        <v>0</v>
      </c>
      <c r="H34" s="21"/>
      <c r="I34" s="21"/>
      <c r="J34" s="21"/>
      <c r="K34" s="21"/>
      <c r="L34" s="41" t="e">
        <f t="shared" si="2"/>
        <v>#DIV/0!</v>
      </c>
      <c r="M34" s="5"/>
    </row>
    <row r="35" spans="1:13" ht="18" customHeight="1">
      <c r="A35" s="25" t="s">
        <v>662</v>
      </c>
      <c r="B35" s="11"/>
      <c r="C35" s="12"/>
      <c r="D35" s="21"/>
      <c r="E35" s="11">
        <f t="shared" si="19"/>
        <v>0</v>
      </c>
      <c r="F35" s="40" t="e">
        <f t="shared" si="1"/>
        <v>#DIV/0!</v>
      </c>
      <c r="G35" s="11">
        <f t="shared" si="20"/>
        <v>5000</v>
      </c>
      <c r="H35" s="21">
        <v>1250</v>
      </c>
      <c r="I35" s="21">
        <v>1250</v>
      </c>
      <c r="J35" s="21">
        <v>1250</v>
      </c>
      <c r="K35" s="21">
        <v>1250</v>
      </c>
      <c r="L35" s="41" t="e">
        <f t="shared" si="2"/>
        <v>#DIV/0!</v>
      </c>
      <c r="M35" s="5"/>
    </row>
    <row r="36" spans="1:13" ht="18" customHeight="1">
      <c r="A36" s="25" t="s">
        <v>663</v>
      </c>
      <c r="B36" s="11"/>
      <c r="C36" s="12"/>
      <c r="D36" s="21"/>
      <c r="E36" s="11">
        <f t="shared" si="19"/>
        <v>0</v>
      </c>
      <c r="F36" s="40" t="e">
        <f t="shared" si="1"/>
        <v>#DIV/0!</v>
      </c>
      <c r="G36" s="11">
        <f t="shared" si="20"/>
        <v>0</v>
      </c>
      <c r="H36" s="21"/>
      <c r="I36" s="21"/>
      <c r="J36" s="21"/>
      <c r="K36" s="21"/>
      <c r="L36" s="41" t="e">
        <f t="shared" si="2"/>
        <v>#DIV/0!</v>
      </c>
      <c r="M36" s="5"/>
    </row>
    <row r="37" spans="1:13" ht="18" customHeight="1">
      <c r="A37" s="25" t="s">
        <v>664</v>
      </c>
      <c r="B37" s="11"/>
      <c r="C37" s="12"/>
      <c r="D37" s="21">
        <v>23.74</v>
      </c>
      <c r="E37" s="11">
        <f t="shared" si="19"/>
        <v>23.74</v>
      </c>
      <c r="F37" s="40" t="e">
        <f t="shared" si="1"/>
        <v>#DIV/0!</v>
      </c>
      <c r="G37" s="11">
        <f t="shared" si="20"/>
        <v>0</v>
      </c>
      <c r="H37" s="12"/>
      <c r="I37" s="12"/>
      <c r="J37" s="12"/>
      <c r="K37" s="12"/>
      <c r="L37" s="41">
        <f t="shared" si="2"/>
        <v>0</v>
      </c>
      <c r="M37" s="5"/>
    </row>
    <row r="38" spans="1:13" ht="18" customHeight="1">
      <c r="A38" s="25" t="s">
        <v>665</v>
      </c>
      <c r="B38" s="11"/>
      <c r="C38" s="12"/>
      <c r="D38" s="21">
        <v>65.49</v>
      </c>
      <c r="E38" s="11">
        <f t="shared" si="19"/>
        <v>65.49</v>
      </c>
      <c r="F38" s="40" t="e">
        <f t="shared" si="1"/>
        <v>#DIV/0!</v>
      </c>
      <c r="G38" s="11">
        <f t="shared" si="20"/>
        <v>0</v>
      </c>
      <c r="H38" s="12"/>
      <c r="I38" s="12"/>
      <c r="J38" s="12"/>
      <c r="K38" s="12"/>
      <c r="L38" s="41">
        <f t="shared" si="2"/>
        <v>0</v>
      </c>
      <c r="M38" s="5"/>
    </row>
    <row r="39" spans="1:13" ht="18" customHeight="1">
      <c r="A39" s="25" t="s">
        <v>666</v>
      </c>
      <c r="B39" s="11"/>
      <c r="C39" s="12"/>
      <c r="D39" s="21"/>
      <c r="E39" s="11">
        <f t="shared" si="19"/>
        <v>0</v>
      </c>
      <c r="F39" s="40" t="e">
        <f t="shared" si="1"/>
        <v>#DIV/0!</v>
      </c>
      <c r="G39" s="11">
        <f t="shared" si="20"/>
        <v>0</v>
      </c>
      <c r="H39" s="12"/>
      <c r="I39" s="12"/>
      <c r="J39" s="12"/>
      <c r="K39" s="12"/>
      <c r="L39" s="41" t="e">
        <f t="shared" si="2"/>
        <v>#DIV/0!</v>
      </c>
      <c r="M39" s="5"/>
    </row>
    <row r="40" spans="1:13" ht="18" customHeight="1">
      <c r="A40" s="25" t="s">
        <v>667</v>
      </c>
      <c r="B40" s="26"/>
      <c r="C40" s="12"/>
      <c r="D40" s="21"/>
      <c r="E40" s="11">
        <f t="shared" si="19"/>
        <v>0</v>
      </c>
      <c r="F40" s="40" t="e">
        <f t="shared" si="1"/>
        <v>#DIV/0!</v>
      </c>
      <c r="G40" s="11">
        <f t="shared" si="20"/>
        <v>0</v>
      </c>
      <c r="H40" s="12"/>
      <c r="I40" s="12"/>
      <c r="J40" s="12"/>
      <c r="K40" s="12"/>
      <c r="L40" s="41" t="e">
        <f t="shared" si="2"/>
        <v>#DIV/0!</v>
      </c>
      <c r="M40" s="5"/>
    </row>
    <row r="41" spans="1:13" ht="18" customHeight="1">
      <c r="A41" s="25" t="s">
        <v>668</v>
      </c>
      <c r="B41" s="11"/>
      <c r="C41" s="12"/>
      <c r="D41" s="21"/>
      <c r="E41" s="11">
        <f t="shared" si="19"/>
        <v>0</v>
      </c>
      <c r="F41" s="40" t="e">
        <f t="shared" si="1"/>
        <v>#DIV/0!</v>
      </c>
      <c r="G41" s="11">
        <f t="shared" si="20"/>
        <v>0</v>
      </c>
      <c r="H41" s="12"/>
      <c r="I41" s="12"/>
      <c r="J41" s="12"/>
      <c r="K41" s="12"/>
      <c r="L41" s="41" t="e">
        <f t="shared" si="2"/>
        <v>#DIV/0!</v>
      </c>
      <c r="M41" s="5"/>
    </row>
    <row r="42" spans="1:13" ht="18" customHeight="1">
      <c r="A42" s="25" t="s">
        <v>669</v>
      </c>
      <c r="B42" s="11"/>
      <c r="C42" s="12"/>
      <c r="D42" s="21"/>
      <c r="E42" s="11">
        <f t="shared" si="19"/>
        <v>0</v>
      </c>
      <c r="F42" s="40" t="e">
        <f t="shared" si="1"/>
        <v>#DIV/0!</v>
      </c>
      <c r="G42" s="11">
        <f t="shared" si="20"/>
        <v>0</v>
      </c>
      <c r="H42" s="12"/>
      <c r="I42" s="12"/>
      <c r="J42" s="12"/>
      <c r="K42" s="12"/>
      <c r="L42" s="41" t="e">
        <f t="shared" si="2"/>
        <v>#DIV/0!</v>
      </c>
      <c r="M42" s="5"/>
    </row>
    <row r="43" spans="1:13" ht="18" customHeight="1">
      <c r="A43" s="25" t="s">
        <v>670</v>
      </c>
      <c r="B43" s="11">
        <f aca="true" t="shared" si="21" ref="B43:K43">SUM(B44:B46)</f>
        <v>0</v>
      </c>
      <c r="C43" s="11">
        <f t="shared" si="21"/>
        <v>0</v>
      </c>
      <c r="D43" s="11">
        <f t="shared" si="21"/>
        <v>441.35</v>
      </c>
      <c r="E43" s="11">
        <f t="shared" si="21"/>
        <v>441.35</v>
      </c>
      <c r="F43" s="40" t="e">
        <f t="shared" si="1"/>
        <v>#DIV/0!</v>
      </c>
      <c r="G43" s="11">
        <f t="shared" si="21"/>
        <v>1287</v>
      </c>
      <c r="H43" s="11">
        <f t="shared" si="21"/>
        <v>321.75</v>
      </c>
      <c r="I43" s="11">
        <f t="shared" si="21"/>
        <v>321.75</v>
      </c>
      <c r="J43" s="11">
        <f t="shared" si="21"/>
        <v>321.75</v>
      </c>
      <c r="K43" s="11">
        <f t="shared" si="21"/>
        <v>321.75</v>
      </c>
      <c r="L43" s="41">
        <f t="shared" si="2"/>
        <v>2.9160530191458025</v>
      </c>
      <c r="M43" s="5"/>
    </row>
    <row r="44" spans="1:13" ht="18" customHeight="1">
      <c r="A44" s="25" t="s">
        <v>671</v>
      </c>
      <c r="B44" s="11"/>
      <c r="C44" s="12"/>
      <c r="D44" s="21"/>
      <c r="E44" s="11">
        <f aca="true" t="shared" si="22" ref="E44:E47">C44+D44</f>
        <v>0</v>
      </c>
      <c r="F44" s="40" t="e">
        <f t="shared" si="1"/>
        <v>#DIV/0!</v>
      </c>
      <c r="G44" s="11">
        <f aca="true" t="shared" si="23" ref="G44:G47">SUM(H44:K44)</f>
        <v>0</v>
      </c>
      <c r="H44" s="12"/>
      <c r="I44" s="12"/>
      <c r="J44" s="12"/>
      <c r="K44" s="12"/>
      <c r="L44" s="41" t="e">
        <f t="shared" si="2"/>
        <v>#DIV/0!</v>
      </c>
      <c r="M44" s="5"/>
    </row>
    <row r="45" spans="1:13" ht="18" customHeight="1">
      <c r="A45" s="25" t="s">
        <v>672</v>
      </c>
      <c r="B45" s="11"/>
      <c r="C45" s="12"/>
      <c r="D45" s="21">
        <v>119.6</v>
      </c>
      <c r="E45" s="11">
        <f t="shared" si="22"/>
        <v>119.6</v>
      </c>
      <c r="F45" s="40" t="e">
        <f t="shared" si="1"/>
        <v>#DIV/0!</v>
      </c>
      <c r="G45" s="11">
        <f t="shared" si="23"/>
        <v>0</v>
      </c>
      <c r="H45" s="12"/>
      <c r="I45" s="12"/>
      <c r="J45" s="12"/>
      <c r="K45" s="12"/>
      <c r="L45" s="41">
        <f t="shared" si="2"/>
        <v>0</v>
      </c>
      <c r="M45" s="5"/>
    </row>
    <row r="46" spans="1:13" ht="18" customHeight="1">
      <c r="A46" s="25" t="s">
        <v>673</v>
      </c>
      <c r="B46" s="11"/>
      <c r="C46" s="12"/>
      <c r="D46" s="21">
        <f aca="true" t="shared" si="24" ref="D46:K46">107.25*3</f>
        <v>321.75</v>
      </c>
      <c r="E46" s="11">
        <f t="shared" si="22"/>
        <v>321.75</v>
      </c>
      <c r="F46" s="40" t="e">
        <f t="shared" si="1"/>
        <v>#DIV/0!</v>
      </c>
      <c r="G46" s="11">
        <f t="shared" si="23"/>
        <v>1287</v>
      </c>
      <c r="H46" s="21">
        <f t="shared" si="24"/>
        <v>321.75</v>
      </c>
      <c r="I46" s="21">
        <f t="shared" si="24"/>
        <v>321.75</v>
      </c>
      <c r="J46" s="21">
        <f t="shared" si="24"/>
        <v>321.75</v>
      </c>
      <c r="K46" s="21">
        <f t="shared" si="24"/>
        <v>321.75</v>
      </c>
      <c r="L46" s="41">
        <f t="shared" si="2"/>
        <v>4</v>
      </c>
      <c r="M46" s="5"/>
    </row>
    <row r="47" spans="1:13" ht="18" customHeight="1">
      <c r="A47" s="109" t="s">
        <v>674</v>
      </c>
      <c r="B47" s="110"/>
      <c r="C47" s="111">
        <f>C5</f>
        <v>14729</v>
      </c>
      <c r="D47" s="111">
        <f>D5*50%</f>
        <v>5575.29</v>
      </c>
      <c r="E47" s="11">
        <f t="shared" si="22"/>
        <v>20304.29</v>
      </c>
      <c r="F47" s="40" t="e">
        <f t="shared" si="1"/>
        <v>#DIV/0!</v>
      </c>
      <c r="G47" s="11">
        <f t="shared" si="23"/>
        <v>92462.29000000001</v>
      </c>
      <c r="H47" s="111">
        <f>D5-D47+H5</f>
        <v>27297.04</v>
      </c>
      <c r="I47" s="111">
        <f aca="true" t="shared" si="25" ref="I47:K47">I5</f>
        <v>21721.75</v>
      </c>
      <c r="J47" s="111">
        <f t="shared" si="25"/>
        <v>21721.75</v>
      </c>
      <c r="K47" s="111">
        <f t="shared" si="25"/>
        <v>21721.75</v>
      </c>
      <c r="L47" s="41">
        <f t="shared" si="2"/>
        <v>4.55383024966645</v>
      </c>
      <c r="M47" s="5"/>
    </row>
    <row r="48" spans="1:13" ht="12.75">
      <c r="A48" s="25" t="s">
        <v>628</v>
      </c>
      <c r="B48" s="11"/>
      <c r="C48" s="12"/>
      <c r="D48" s="12"/>
      <c r="E48" s="11"/>
      <c r="F48" s="40"/>
      <c r="G48" s="11">
        <f>E5-E47+G5-G47</f>
        <v>0</v>
      </c>
      <c r="H48" s="12"/>
      <c r="I48" s="12"/>
      <c r="J48" s="12"/>
      <c r="K48" s="12"/>
      <c r="L48" s="41"/>
      <c r="M48" s="5"/>
    </row>
    <row r="49" spans="1:13" ht="12.75">
      <c r="A49" s="25"/>
      <c r="B49" s="11"/>
      <c r="C49" s="12"/>
      <c r="D49" s="12"/>
      <c r="E49" s="11"/>
      <c r="F49" s="40"/>
      <c r="G49" s="11"/>
      <c r="H49" s="12"/>
      <c r="I49" s="12"/>
      <c r="J49" s="12"/>
      <c r="K49" s="12"/>
      <c r="L49" s="41"/>
      <c r="M49" s="5"/>
    </row>
    <row r="50" spans="1:13" ht="12.75">
      <c r="A50" s="5"/>
      <c r="B50" s="5"/>
      <c r="C50" s="16"/>
      <c r="D50" s="4" t="s">
        <v>677</v>
      </c>
      <c r="E50" s="5"/>
      <c r="F50" s="5"/>
      <c r="G50" s="5"/>
      <c r="H50" s="16"/>
      <c r="I50" s="4" t="s">
        <v>678</v>
      </c>
      <c r="J50" s="5"/>
      <c r="K50" s="5"/>
      <c r="L50" s="5"/>
      <c r="M50" s="5"/>
    </row>
  </sheetData>
  <sheetProtection/>
  <mergeCells count="6">
    <mergeCell ref="A1:M1"/>
    <mergeCell ref="B3:F3"/>
    <mergeCell ref="G3:K3"/>
    <mergeCell ref="A3:A4"/>
    <mergeCell ref="L3:L4"/>
    <mergeCell ref="M3:M4"/>
  </mergeCells>
  <printOptions/>
  <pageMargins left="1.18" right="0.19" top="0.55" bottom="0.39" header="0.28" footer="0.16"/>
  <pageSetup fitToHeight="1" fitToWidth="1" horizontalDpi="300" verticalDpi="300" orientation="landscape" paperSize="9" scale="76"/>
</worksheet>
</file>

<file path=xl/worksheets/sheet24.xml><?xml version="1.0" encoding="utf-8"?>
<worksheet xmlns="http://schemas.openxmlformats.org/spreadsheetml/2006/main" xmlns:r="http://schemas.openxmlformats.org/officeDocument/2006/relationships">
  <sheetPr>
    <pageSetUpPr fitToPage="1"/>
  </sheetPr>
  <dimension ref="A1:M50"/>
  <sheetViews>
    <sheetView workbookViewId="0" topLeftCell="A1">
      <selection activeCell="O33" sqref="O33"/>
    </sheetView>
  </sheetViews>
  <sheetFormatPr defaultColWidth="9.140625" defaultRowHeight="12.75"/>
  <cols>
    <col min="1" max="1" width="30.28125" style="0" customWidth="1"/>
    <col min="2" max="2" width="13.140625" style="0" customWidth="1"/>
    <col min="3" max="3" width="10.7109375" style="0" customWidth="1"/>
    <col min="4" max="4" width="11.7109375" style="0" customWidth="1"/>
    <col min="5" max="5" width="11.57421875" style="0" customWidth="1"/>
    <col min="6" max="6" width="10.7109375" style="0" customWidth="1"/>
    <col min="7" max="11" width="13.7109375" style="0" customWidth="1"/>
    <col min="12" max="13" width="10.7109375" style="0" customWidth="1"/>
  </cols>
  <sheetData>
    <row r="1" spans="1:13" ht="25.5" customHeight="1">
      <c r="A1" s="23" t="s">
        <v>688</v>
      </c>
      <c r="B1" s="23"/>
      <c r="C1" s="23" t="s">
        <v>598</v>
      </c>
      <c r="D1" s="23" t="s">
        <v>598</v>
      </c>
      <c r="E1" s="23" t="s">
        <v>598</v>
      </c>
      <c r="F1" s="23"/>
      <c r="G1" s="23" t="s">
        <v>598</v>
      </c>
      <c r="H1" s="23" t="s">
        <v>598</v>
      </c>
      <c r="I1" s="23" t="s">
        <v>598</v>
      </c>
      <c r="J1" s="23" t="s">
        <v>598</v>
      </c>
      <c r="K1" s="23" t="s">
        <v>598</v>
      </c>
      <c r="L1" s="23" t="s">
        <v>598</v>
      </c>
      <c r="M1" s="23" t="s">
        <v>598</v>
      </c>
    </row>
    <row r="2" spans="1:13" ht="18" customHeight="1">
      <c r="A2" s="106" t="s">
        <v>364</v>
      </c>
      <c r="B2" s="107"/>
      <c r="C2" s="45"/>
      <c r="D2" s="46"/>
      <c r="E2" s="47"/>
      <c r="F2" s="55"/>
      <c r="G2" s="24" t="s">
        <v>288</v>
      </c>
      <c r="H2" s="5"/>
      <c r="I2" s="5"/>
      <c r="J2" s="5"/>
      <c r="K2" s="5"/>
      <c r="L2" s="16" t="s">
        <v>599</v>
      </c>
      <c r="M2" s="5"/>
    </row>
    <row r="3" spans="1:13" ht="18" customHeight="1">
      <c r="A3" s="18" t="s">
        <v>290</v>
      </c>
      <c r="B3" s="90" t="s">
        <v>366</v>
      </c>
      <c r="C3" s="38"/>
      <c r="D3" s="38"/>
      <c r="E3" s="38"/>
      <c r="F3" s="39"/>
      <c r="G3" s="9" t="s">
        <v>292</v>
      </c>
      <c r="H3" s="9"/>
      <c r="I3" s="9" t="s">
        <v>292</v>
      </c>
      <c r="J3" s="9" t="s">
        <v>292</v>
      </c>
      <c r="K3" s="9" t="s">
        <v>292</v>
      </c>
      <c r="L3" s="9" t="s">
        <v>293</v>
      </c>
      <c r="M3" s="18" t="s">
        <v>33</v>
      </c>
    </row>
    <row r="4" spans="1:13" ht="18" customHeight="1">
      <c r="A4" s="18"/>
      <c r="B4" s="9" t="s">
        <v>294</v>
      </c>
      <c r="C4" s="9" t="s">
        <v>689</v>
      </c>
      <c r="D4" s="9" t="s">
        <v>690</v>
      </c>
      <c r="E4" s="9" t="s">
        <v>464</v>
      </c>
      <c r="F4" s="9" t="s">
        <v>299</v>
      </c>
      <c r="G4" s="9" t="s">
        <v>314</v>
      </c>
      <c r="H4" s="9" t="s">
        <v>324</v>
      </c>
      <c r="I4" s="9" t="s">
        <v>331</v>
      </c>
      <c r="J4" s="9" t="s">
        <v>334</v>
      </c>
      <c r="K4" s="9" t="s">
        <v>336</v>
      </c>
      <c r="L4" s="9" t="s">
        <v>293</v>
      </c>
      <c r="M4" s="18" t="s">
        <v>33</v>
      </c>
    </row>
    <row r="5" spans="1:13" ht="18" customHeight="1">
      <c r="A5" s="25" t="s">
        <v>691</v>
      </c>
      <c r="B5" s="11">
        <f>B6+B32+B43</f>
        <v>5362943.66</v>
      </c>
      <c r="C5" s="11">
        <f>C6+C32+C43</f>
        <v>5044766.379999999</v>
      </c>
      <c r="D5" s="11">
        <f>D6+D32+D43</f>
        <v>406840.41000000003</v>
      </c>
      <c r="E5" s="11">
        <f>E6+E32+E43</f>
        <v>5451606.789999999</v>
      </c>
      <c r="F5" s="40">
        <f aca="true" t="shared" si="0" ref="F5:F46">E5/B5</f>
        <v>1.0165325492157042</v>
      </c>
      <c r="G5" s="11">
        <f>G6+G32+G43</f>
        <v>6720045.562453781</v>
      </c>
      <c r="H5" s="11">
        <f>H6+H32+H43</f>
        <v>1623166.5799537813</v>
      </c>
      <c r="I5" s="11">
        <f>I6+I32+I43</f>
        <v>1650656.6775</v>
      </c>
      <c r="J5" s="11">
        <f>J6+J32+J43</f>
        <v>1790696.1525</v>
      </c>
      <c r="K5" s="11">
        <f>K6+K32+K43</f>
        <v>1655526.1525</v>
      </c>
      <c r="L5" s="41">
        <f aca="true" t="shared" si="1" ref="L5:L46">G5/E5</f>
        <v>1.2326724617741154</v>
      </c>
      <c r="M5" s="5"/>
    </row>
    <row r="6" spans="1:13" ht="18" customHeight="1">
      <c r="A6" s="25" t="s">
        <v>692</v>
      </c>
      <c r="B6" s="11">
        <f aca="true" t="shared" si="2" ref="B6:K6">B7+B26+B27</f>
        <v>4782824.5</v>
      </c>
      <c r="C6" s="11">
        <f t="shared" si="2"/>
        <v>4579897.18</v>
      </c>
      <c r="D6" s="11">
        <f t="shared" si="2"/>
        <v>380740.41000000003</v>
      </c>
      <c r="E6" s="11">
        <f t="shared" si="2"/>
        <v>4960637.59</v>
      </c>
      <c r="F6" s="40">
        <f t="shared" si="0"/>
        <v>1.037177423089641</v>
      </c>
      <c r="G6" s="11">
        <f t="shared" si="2"/>
        <v>6241163.05</v>
      </c>
      <c r="H6" s="11">
        <f t="shared" si="2"/>
        <v>1544194.1925</v>
      </c>
      <c r="I6" s="11">
        <f t="shared" si="2"/>
        <v>1479852.0525</v>
      </c>
      <c r="J6" s="11">
        <f t="shared" si="2"/>
        <v>1627038.4025</v>
      </c>
      <c r="K6" s="11">
        <f t="shared" si="2"/>
        <v>1590078.4025</v>
      </c>
      <c r="L6" s="41">
        <f t="shared" si="1"/>
        <v>1.2581372730355012</v>
      </c>
      <c r="M6" s="5"/>
    </row>
    <row r="7" spans="1:13" ht="18" customHeight="1">
      <c r="A7" s="72" t="s">
        <v>634</v>
      </c>
      <c r="B7" s="11">
        <f aca="true" t="shared" si="3" ref="B7:K7">B8+B16+B20+B23+B24+B25</f>
        <v>4627199.5</v>
      </c>
      <c r="C7" s="11">
        <f t="shared" si="3"/>
        <v>4002303.21</v>
      </c>
      <c r="D7" s="11">
        <f t="shared" si="3"/>
        <v>302540.41000000003</v>
      </c>
      <c r="E7" s="11">
        <f t="shared" si="3"/>
        <v>4304843.62</v>
      </c>
      <c r="F7" s="40">
        <f t="shared" si="0"/>
        <v>0.9303345619742568</v>
      </c>
      <c r="G7" s="11">
        <f t="shared" si="3"/>
        <v>5360298.649999999</v>
      </c>
      <c r="H7" s="11">
        <f t="shared" si="3"/>
        <v>1324383.0924999998</v>
      </c>
      <c r="I7" s="11">
        <f t="shared" si="3"/>
        <v>1275040.9525</v>
      </c>
      <c r="J7" s="11">
        <f t="shared" si="3"/>
        <v>1398917.3025</v>
      </c>
      <c r="K7" s="11">
        <f t="shared" si="3"/>
        <v>1361957.3025</v>
      </c>
      <c r="L7" s="41">
        <f t="shared" si="1"/>
        <v>1.2451784833940145</v>
      </c>
      <c r="M7" s="5"/>
    </row>
    <row r="8" spans="1:13" ht="18" customHeight="1">
      <c r="A8" s="72" t="s">
        <v>635</v>
      </c>
      <c r="B8" s="11">
        <f aca="true" t="shared" si="4" ref="B8:K8">B9+B10+B14+B15</f>
        <v>3255568</v>
      </c>
      <c r="C8" s="11">
        <f t="shared" si="4"/>
        <v>2764754.41</v>
      </c>
      <c r="D8" s="11">
        <f t="shared" si="4"/>
        <v>186009</v>
      </c>
      <c r="E8" s="11">
        <f t="shared" si="4"/>
        <v>2950763.41</v>
      </c>
      <c r="F8" s="40">
        <f t="shared" si="0"/>
        <v>0.9063743746098991</v>
      </c>
      <c r="G8" s="11">
        <f t="shared" si="4"/>
        <v>3850696.7</v>
      </c>
      <c r="H8" s="11">
        <f t="shared" si="4"/>
        <v>909658</v>
      </c>
      <c r="I8" s="11">
        <f t="shared" si="4"/>
        <v>882782</v>
      </c>
      <c r="J8" s="11">
        <f t="shared" si="4"/>
        <v>1047608.35</v>
      </c>
      <c r="K8" s="11">
        <f t="shared" si="4"/>
        <v>1010648.35</v>
      </c>
      <c r="L8" s="41">
        <f t="shared" si="1"/>
        <v>1.3049832077184391</v>
      </c>
      <c r="M8" s="5"/>
    </row>
    <row r="9" spans="1:13" ht="18" customHeight="1">
      <c r="A9" s="72" t="s">
        <v>636</v>
      </c>
      <c r="B9" s="11">
        <f>'13-2)营业成本预算表（三江居环境卫生)'!B9+'13-2)营业成本预算表（公车服务项目)'!B9+'13-2)营业成本预算表（农场后勤服务)'!B9+'13-2)营业成本预算表（综合培训基地)'!B9+'13-2)营业成本预算表（消防服务项目)'!B9</f>
        <v>1860120</v>
      </c>
      <c r="C9" s="11">
        <f>'13-2)营业成本预算表（三江居环境卫生)'!C9+'13-2)营业成本预算表（公车服务项目)'!C9+'13-2)营业成本预算表（农场后勤服务)'!C9+'13-2)营业成本预算表（综合培训基地)'!C9+'13-2)营业成本预算表（消防服务项目)'!C9</f>
        <v>1696508.21</v>
      </c>
      <c r="D9" s="11">
        <f>'13-2)营业成本预算表（三江居环境卫生)'!D9+'13-2)营业成本预算表（公车服务项目)'!D9+'13-2)营业成本预算表（农场后勤服务)'!D9+'13-2)营业成本预算表（综合培训基地)'!D9+'13-2)营业成本预算表（消防服务项目)'!D9</f>
        <v>97750</v>
      </c>
      <c r="E9" s="11">
        <f aca="true" t="shared" si="5" ref="E9:E15">C9+D9</f>
        <v>1794258.21</v>
      </c>
      <c r="F9" s="40">
        <f t="shared" si="0"/>
        <v>0.9645927198245274</v>
      </c>
      <c r="G9" s="11">
        <f aca="true" t="shared" si="6" ref="G9:G15">SUM(H9:K9)</f>
        <v>1975740</v>
      </c>
      <c r="H9" s="11">
        <f>'13-2)营业成本预算表（三江居环境卫生)'!H9+'13-2)营业成本预算表（农场后勤服务)'!H9+'13-2)营业成本预算表（综合培训基地)'!H9+'13-2)营业成本预算表（消防服务项目)'!H9</f>
        <v>541050</v>
      </c>
      <c r="I9" s="11">
        <f>'13-2)营业成本预算表（三江居环境卫生)'!I9+'13-2)营业成本预算表（农场后勤服务)'!I9+'13-2)营业成本预算表（综合培训基地)'!I9+'13-2)营业成本预算表（消防服务项目)'!I9</f>
        <v>478230</v>
      </c>
      <c r="J9" s="11">
        <f>'13-2)营业成本预算表（三江居环境卫生)'!J9+'13-2)营业成本预算表（农场后勤服务)'!J9+'13-2)营业成本预算表（综合培训基地)'!J9+'13-2)营业成本预算表（消防服务项目)'!J9</f>
        <v>478230</v>
      </c>
      <c r="K9" s="11">
        <f>'13-2)营业成本预算表（三江居环境卫生)'!K9+'13-2)营业成本预算表（农场后勤服务)'!K9+'13-2)营业成本预算表（综合培训基地)'!K9+'13-2)营业成本预算表（消防服务项目)'!K9</f>
        <v>478230</v>
      </c>
      <c r="L9" s="41">
        <f t="shared" si="1"/>
        <v>1.1011458601602275</v>
      </c>
      <c r="M9" s="5"/>
    </row>
    <row r="10" spans="1:13" ht="18" customHeight="1">
      <c r="A10" s="72" t="s">
        <v>637</v>
      </c>
      <c r="B10" s="11">
        <f>'[4]13-2)营业成本预算表（三江居环境卫生)'!B10+'[4]13-2)营业成本预算表（公车服务项目)'!B10+'[4]13-2)营业成本预算表（农场后勤服务)'!B10+'[4]13.-2营业成本预算表（综合培训基地）'!B10</f>
        <v>769600</v>
      </c>
      <c r="C10" s="11">
        <f>'[4]13-2)营业成本预算表（三江居环境卫生)'!C10+'[4]13-2)营业成本预算表（公车服务项目)'!C10+'[4]13-2)营业成本预算表（农场后勤服务)'!C10+'[4]13.-2营业成本预算表（综合培训基地）'!C10</f>
        <v>701317</v>
      </c>
      <c r="D10" s="11">
        <f>'[4]13-2)营业成本预算表（三江居环境卫生)'!D10+'[4]13-2)营业成本预算表（公车服务项目)'!D10+'[4]13-2)营业成本预算表（农场后勤服务)'!D10+'[4]13.-2营业成本预算表（综合培训基地）'!D10</f>
        <v>57911</v>
      </c>
      <c r="E10" s="11">
        <f>SUM(E11:E13)</f>
        <v>759228</v>
      </c>
      <c r="F10" s="40">
        <f t="shared" si="0"/>
        <v>0.986522869022869</v>
      </c>
      <c r="G10" s="11">
        <f>SUM(G11:G13)</f>
        <v>1245182.7</v>
      </c>
      <c r="H10" s="11">
        <f>'13-2)营业成本预算表（三江居环境卫生)'!H10+'13-2)营业成本预算表（农场后勤服务)'!H10+'13-2)营业成本预算表（综合培训基地)'!H10+'13-2)营业成本预算表（消防服务项目)'!H10</f>
        <v>238850</v>
      </c>
      <c r="I10" s="11">
        <f>'13-2)营业成本预算表（三江居环境卫生)'!I10+'13-2)营业成本预算表（农场后勤服务)'!I10+'13-2)营业成本预算表（综合培训基地)'!I10+'13-2)营业成本预算表（消防服务项目)'!I10</f>
        <v>223000</v>
      </c>
      <c r="J10" s="11">
        <f>'13-2)营业成本预算表（三江居环境卫生)'!J10+'13-2)营业成本预算表（农场后勤服务)'!J10+'13-2)营业成本预算表（综合培训基地)'!J10+'13-2)营业成本预算表（消防服务项目)'!J10</f>
        <v>391666.35</v>
      </c>
      <c r="K10" s="11">
        <f>'13-2)营业成本预算表（三江居环境卫生)'!K10+'13-2)营业成本预算表（农场后勤服务)'!K10+'13-2)营业成本预算表（综合培训基地)'!K10+'13-2)营业成本预算表（消防服务项目)'!K10</f>
        <v>391666.35</v>
      </c>
      <c r="L10" s="41">
        <f t="shared" si="1"/>
        <v>1.6400642494744662</v>
      </c>
      <c r="M10" s="5"/>
    </row>
    <row r="11" spans="1:13" ht="18" customHeight="1">
      <c r="A11" s="75" t="s">
        <v>638</v>
      </c>
      <c r="B11" s="11">
        <f>'13-2)营业成本预算表（三江居环境卫生)'!B11+'13-2)营业成本预算表（公车服务项目)'!B11+'13-2)营业成本预算表（农场后勤服务)'!B11+'13-2)营业成本预算表（综合培训基地)'!B11+'13-2)营业成本预算表（消防服务项目)'!B11</f>
        <v>0</v>
      </c>
      <c r="C11" s="11">
        <f>'13-2)营业成本预算表（三江居环境卫生)'!C11+'13-2)营业成本预算表（公车服务项目)'!C11+'13-2)营业成本预算表（农场后勤服务)'!C11+'13-2)营业成本预算表（综合培训基地)'!C11+'13-2)营业成本预算表（消防服务项目)'!C11</f>
        <v>0</v>
      </c>
      <c r="D11" s="11">
        <f>'13-2)营业成本预算表（三江居环境卫生)'!D11+'13-2)营业成本预算表（公车服务项目)'!D11+'13-2)营业成本预算表（农场后勤服务)'!D11+'13-2)营业成本预算表（综合培训基地)'!D11+'13-2)营业成本预算表（消防服务项目)'!D11</f>
        <v>0</v>
      </c>
      <c r="E11" s="11">
        <f t="shared" si="5"/>
        <v>0</v>
      </c>
      <c r="F11" s="40" t="e">
        <f t="shared" si="0"/>
        <v>#DIV/0!</v>
      </c>
      <c r="G11" s="11">
        <f t="shared" si="6"/>
        <v>337332.69999999995</v>
      </c>
      <c r="H11" s="11">
        <f>'13-2)营业成本预算表（三江居环境卫生)'!H11+'13-2)营业成本预算表（农场后勤服务)'!H11+'13-2)营业成本预算表（综合培训基地)'!H11+'13-2)营业成本预算表（消防服务项目)'!H11</f>
        <v>0</v>
      </c>
      <c r="I11" s="11">
        <f>'13-2)营业成本预算表（三江居环境卫生)'!I11+'13-2)营业成本预算表（农场后勤服务)'!I11+'13-2)营业成本预算表（综合培训基地)'!I11+'13-2)营业成本预算表（消防服务项目)'!I11</f>
        <v>0</v>
      </c>
      <c r="J11" s="11">
        <f>'13-2)营业成本预算表（三江居环境卫生)'!J11+'13-2)营业成本预算表（农场后勤服务)'!J11+'13-2)营业成本预算表（综合培训基地)'!J11+'13-2)营业成本预算表（消防服务项目)'!J11</f>
        <v>168666.34999999998</v>
      </c>
      <c r="K11" s="11">
        <f>'13-2)营业成本预算表（三江居环境卫生)'!K11+'13-2)营业成本预算表（农场后勤服务)'!K11+'13-2)营业成本预算表（综合培训基地)'!K11+'13-2)营业成本预算表（消防服务项目)'!K11</f>
        <v>168666.34999999998</v>
      </c>
      <c r="L11" s="41" t="e">
        <f t="shared" si="1"/>
        <v>#DIV/0!</v>
      </c>
      <c r="M11" s="5"/>
    </row>
    <row r="12" spans="1:13" ht="18" customHeight="1">
      <c r="A12" s="75" t="s">
        <v>639</v>
      </c>
      <c r="B12" s="11">
        <f>'13-2)营业成本预算表（三江居环境卫生)'!B12+'13-2)营业成本预算表（公车服务项目)'!B12+'13-2)营业成本预算表（农场后勤服务)'!B12+'13-2)营业成本预算表（综合培训基地)'!B12+'13-2)营业成本预算表（消防服务项目)'!B12</f>
        <v>249600</v>
      </c>
      <c r="C12" s="11">
        <f>'13-2)营业成本预算表（三江居环境卫生)'!C12+'13-2)营业成本预算表（公车服务项目)'!C12+'13-2)营业成本预算表（农场后勤服务)'!C12+'13-2)营业成本预算表（综合培训基地)'!C12+'13-2)营业成本预算表（消防服务项目)'!C12</f>
        <v>224000</v>
      </c>
      <c r="D12" s="11">
        <f>'13-2)营业成本预算表（三江居环境卫生)'!D12+'13-2)营业成本预算表（公车服务项目)'!D12+'13-2)营业成本预算表（农场后勤服务)'!D12+'13-2)营业成本预算表（综合培训基地)'!D12+'13-2)营业成本预算表（消防服务项目)'!D12</f>
        <v>16000</v>
      </c>
      <c r="E12" s="11">
        <f t="shared" si="5"/>
        <v>240000</v>
      </c>
      <c r="F12" s="40">
        <f t="shared" si="0"/>
        <v>0.9615384615384616</v>
      </c>
      <c r="G12" s="11">
        <f t="shared" si="6"/>
        <v>311100</v>
      </c>
      <c r="H12" s="11">
        <f>'13-2)营业成本预算表（三江居环境卫生)'!H12+'13-2)营业成本预算表（农场后勤服务)'!H12+'13-2)营业成本预算表（综合培训基地)'!H12+'13-2)营业成本预算表（消防服务项目)'!H12</f>
        <v>81600</v>
      </c>
      <c r="I12" s="11">
        <f>'13-2)营业成本预算表（三江居环境卫生)'!I12+'13-2)营业成本预算表（农场后勤服务)'!I12+'13-2)营业成本预算表（综合培训基地)'!I12+'13-2)营业成本预算表（消防服务项目)'!I12</f>
        <v>76500</v>
      </c>
      <c r="J12" s="11">
        <f>'13-2)营业成本预算表（三江居环境卫生)'!J12+'13-2)营业成本预算表（农场后勤服务)'!J12+'13-2)营业成本预算表（综合培训基地)'!J12+'13-2)营业成本预算表（消防服务项目)'!J12</f>
        <v>76500</v>
      </c>
      <c r="K12" s="11">
        <f>'13-2)营业成本预算表（三江居环境卫生)'!K12+'13-2)营业成本预算表（农场后勤服务)'!K12+'13-2)营业成本预算表（综合培训基地)'!K12+'13-2)营业成本预算表（消防服务项目)'!K12</f>
        <v>76500</v>
      </c>
      <c r="L12" s="41">
        <f t="shared" si="1"/>
        <v>1.29625</v>
      </c>
      <c r="M12" s="5"/>
    </row>
    <row r="13" spans="1:13" ht="18" customHeight="1">
      <c r="A13" s="75" t="s">
        <v>640</v>
      </c>
      <c r="B13" s="11">
        <f>'13-2)营业成本预算表（三江居环境卫生)'!B13+'13-2)营业成本预算表（公车服务项目)'!B13+'13-2)营业成本预算表（农场后勤服务)'!B13+'13-2)营业成本预算表（综合培训基地)'!B13+'13-2)营业成本预算表（消防服务项目)'!B13</f>
        <v>520000</v>
      </c>
      <c r="C13" s="11">
        <f>'13-2)营业成本预算表（三江居环境卫生)'!C13+'13-2)营业成本预算表（公车服务项目)'!C13+'13-2)营业成本预算表（农场后勤服务)'!C13+'13-2)营业成本预算表（综合培训基地)'!C13+'13-2)营业成本预算表（消防服务项目)'!C13</f>
        <v>477317</v>
      </c>
      <c r="D13" s="11">
        <f>'13-2)营业成本预算表（三江居环境卫生)'!D13+'13-2)营业成本预算表（公车服务项目)'!D13+'13-2)营业成本预算表（农场后勤服务)'!D13+'13-2)营业成本预算表（综合培训基地)'!D13+'13-2)营业成本预算表（消防服务项目)'!D13</f>
        <v>41911</v>
      </c>
      <c r="E13" s="11">
        <f t="shared" si="5"/>
        <v>519228</v>
      </c>
      <c r="F13" s="40">
        <f t="shared" si="0"/>
        <v>0.9985153846153846</v>
      </c>
      <c r="G13" s="11">
        <f t="shared" si="6"/>
        <v>596750</v>
      </c>
      <c r="H13" s="11">
        <f>'13-2)营业成本预算表（三江居环境卫生)'!H13+'13-2)营业成本预算表（农场后勤服务)'!H13+'13-2)营业成本预算表（综合培训基地)'!H13+'13-2)营业成本预算表（消防服务项目)'!H13</f>
        <v>157250</v>
      </c>
      <c r="I13" s="11">
        <f>'13-2)营业成本预算表（三江居环境卫生)'!I13+'13-2)营业成本预算表（农场后勤服务)'!I13+'13-2)营业成本预算表（综合培训基地)'!I13+'13-2)营业成本预算表（消防服务项目)'!I13</f>
        <v>146500</v>
      </c>
      <c r="J13" s="11">
        <f>'13-2)营业成本预算表（三江居环境卫生)'!J13+'13-2)营业成本预算表（农场后勤服务)'!J13+'13-2)营业成本预算表（综合培训基地)'!J13+'13-2)营业成本预算表（消防服务项目)'!J13</f>
        <v>146500</v>
      </c>
      <c r="K13" s="11">
        <f>'13-2)营业成本预算表（三江居环境卫生)'!K13+'13-2)营业成本预算表（农场后勤服务)'!K13+'13-2)营业成本预算表（综合培训基地)'!K13+'13-2)营业成本预算表（消防服务项目)'!K13</f>
        <v>146500</v>
      </c>
      <c r="L13" s="41">
        <f t="shared" si="1"/>
        <v>1.1493024259092344</v>
      </c>
      <c r="M13" s="5"/>
    </row>
    <row r="14" spans="1:13" ht="18" customHeight="1">
      <c r="A14" s="72" t="s">
        <v>641</v>
      </c>
      <c r="B14" s="11">
        <f>'13-2)营业成本预算表（三江居环境卫生)'!B14+'13-2)营业成本预算表（公车服务项目)'!B14+'13-2)营业成本预算表（农场后勤服务)'!B14+'13-2)营业成本预算表（综合培训基地)'!B14+'13-2)营业成本预算表（消防服务项目)'!B14</f>
        <v>466488</v>
      </c>
      <c r="C14" s="11">
        <f>'13-2)营业成本预算表（三江居环境卫生)'!C14+'13-2)营业成本预算表（公车服务项目)'!C14+'13-2)营业成本预算表（农场后勤服务)'!C14+'13-2)营业成本预算表（综合培训基地)'!C14+'13-2)营业成本预算表（消防服务项目)'!C14</f>
        <v>273842</v>
      </c>
      <c r="D14" s="11">
        <f>'13-2)营业成本预算表（三江居环境卫生)'!D14+'13-2)营业成本预算表（公车服务项目)'!D14+'13-2)营业成本预算表（农场后勤服务)'!D14+'13-2)营业成本预算表（综合培训基地)'!D14+'13-2)营业成本预算表（消防服务项目)'!D14</f>
        <v>10208</v>
      </c>
      <c r="E14" s="11">
        <f t="shared" si="5"/>
        <v>284050</v>
      </c>
      <c r="F14" s="40">
        <f t="shared" si="0"/>
        <v>0.6089116976213751</v>
      </c>
      <c r="G14" s="11">
        <f t="shared" si="6"/>
        <v>499854</v>
      </c>
      <c r="H14" s="11">
        <f>'13-2)营业成本预算表（三江居环境卫生)'!H14+'13-2)营业成本预算表（农场后勤服务)'!H14+'13-2)营业成本预算表（综合培训基地)'!H14+'13-2)营业成本预算表（消防服务项目)'!H14</f>
        <v>95838</v>
      </c>
      <c r="I14" s="11">
        <f>'13-2)营业成本预算表（三江居环境卫生)'!I14+'13-2)营业成本预算表（农场后勤服务)'!I14+'13-2)营业成本预算表（综合培训基地)'!I14+'13-2)营业成本预算表（消防服务项目)'!I14</f>
        <v>148272</v>
      </c>
      <c r="J14" s="11">
        <f>'13-2)营业成本预算表（三江居环境卫生)'!J14+'13-2)营业成本预算表（农场后勤服务)'!J14+'13-2)营业成本预算表（综合培训基地)'!J14+'13-2)营业成本预算表（消防服务项目)'!J14</f>
        <v>148272</v>
      </c>
      <c r="K14" s="11">
        <f>'13-2)营业成本预算表（三江居环境卫生)'!K14+'13-2)营业成本预算表（农场后勤服务)'!K14+'13-2)营业成本预算表（综合培训基地)'!K14+'13-2)营业成本预算表（消防服务项目)'!K14</f>
        <v>107472</v>
      </c>
      <c r="L14" s="41">
        <f t="shared" si="1"/>
        <v>1.759739482485478</v>
      </c>
      <c r="M14" s="5"/>
    </row>
    <row r="15" spans="1:13" ht="18" customHeight="1">
      <c r="A15" s="72" t="s">
        <v>642</v>
      </c>
      <c r="B15" s="11">
        <f>'13-2)营业成本预算表（三江居环境卫生)'!B15+'13-2)营业成本预算表（公车服务项目)'!B15+'13-2)营业成本预算表（农场后勤服务)'!B15+'13-2)营业成本预算表（综合培训基地)'!B15+'13-2)营业成本预算表（消防服务项目)'!B15</f>
        <v>159360</v>
      </c>
      <c r="C15" s="11">
        <f>'13-2)营业成本预算表（三江居环境卫生)'!C15+'13-2)营业成本预算表（公车服务项目)'!C15+'13-2)营业成本预算表（农场后勤服务)'!C15+'13-2)营业成本预算表（综合培训基地)'!C15+'13-2)营业成本预算表（消防服务项目)'!C15</f>
        <v>93087.2</v>
      </c>
      <c r="D15" s="11">
        <f>'13-2)营业成本预算表（三江居环境卫生)'!D15+'13-2)营业成本预算表（公车服务项目)'!D15+'13-2)营业成本预算表（农场后勤服务)'!D15+'13-2)营业成本预算表（综合培训基地)'!D15+'13-2)营业成本预算表（消防服务项目)'!D15</f>
        <v>20140</v>
      </c>
      <c r="E15" s="11">
        <f t="shared" si="5"/>
        <v>113227.2</v>
      </c>
      <c r="F15" s="40">
        <f t="shared" si="0"/>
        <v>0.710512048192771</v>
      </c>
      <c r="G15" s="11">
        <f t="shared" si="6"/>
        <v>129920</v>
      </c>
      <c r="H15" s="11">
        <f>'13-2)营业成本预算表（三江居环境卫生)'!H15+'13-2)营业成本预算表（农场后勤服务)'!H15+'13-2)营业成本预算表（综合培训基地)'!H15+'13-2)营业成本预算表（消防服务项目)'!H15</f>
        <v>33920</v>
      </c>
      <c r="I15" s="11">
        <f>'13-2)营业成本预算表（三江居环境卫生)'!I15+'13-2)营业成本预算表（农场后勤服务)'!I15+'13-2)营业成本预算表（综合培训基地)'!I15+'13-2)营业成本预算表（消防服务项目)'!I15</f>
        <v>33280</v>
      </c>
      <c r="J15" s="11">
        <f>'13-2)营业成本预算表（三江居环境卫生)'!J15+'13-2)营业成本预算表（农场后勤服务)'!J15+'13-2)营业成本预算表（综合培训基地)'!J15+'13-2)营业成本预算表（消防服务项目)'!J15</f>
        <v>29440</v>
      </c>
      <c r="K15" s="11">
        <f>'13-2)营业成本预算表（三江居环境卫生)'!K15+'13-2)营业成本预算表（农场后勤服务)'!K15+'13-2)营业成本预算表（综合培训基地)'!K15+'13-2)营业成本预算表（消防服务项目)'!K15</f>
        <v>33280</v>
      </c>
      <c r="L15" s="41">
        <f t="shared" si="1"/>
        <v>1.1474274732573093</v>
      </c>
      <c r="M15" s="5"/>
    </row>
    <row r="16" spans="1:13" ht="18" customHeight="1">
      <c r="A16" s="72" t="s">
        <v>643</v>
      </c>
      <c r="B16" s="11">
        <f aca="true" t="shared" si="7" ref="B16:K16">SUM(B17:B19)</f>
        <v>165718</v>
      </c>
      <c r="C16" s="11">
        <f t="shared" si="7"/>
        <v>213461.09</v>
      </c>
      <c r="D16" s="11">
        <f t="shared" si="7"/>
        <v>16032</v>
      </c>
      <c r="E16" s="11">
        <f t="shared" si="7"/>
        <v>229493.09</v>
      </c>
      <c r="F16" s="40">
        <f t="shared" si="0"/>
        <v>1.3848410552866919</v>
      </c>
      <c r="G16" s="11">
        <f t="shared" si="7"/>
        <v>69982</v>
      </c>
      <c r="H16" s="11">
        <f t="shared" si="7"/>
        <v>26008</v>
      </c>
      <c r="I16" s="11">
        <f t="shared" si="7"/>
        <v>41958</v>
      </c>
      <c r="J16" s="11">
        <f t="shared" si="7"/>
        <v>1008</v>
      </c>
      <c r="K16" s="11">
        <f t="shared" si="7"/>
        <v>1008</v>
      </c>
      <c r="L16" s="41">
        <f t="shared" si="1"/>
        <v>0.3049416433409825</v>
      </c>
      <c r="M16" s="5"/>
    </row>
    <row r="17" spans="1:13" ht="18" customHeight="1">
      <c r="A17" s="72" t="s">
        <v>644</v>
      </c>
      <c r="B17" s="11">
        <f>'13-2)营业成本预算表（三江居环境卫生)'!B17+'13-2)营业成本预算表（公车服务项目)'!B17+'13-2)营业成本预算表（农场后勤服务)'!B17+'13-2)营业成本预算表（综合培训基地)'!B17+'13-2)营业成本预算表（消防服务项目)'!B17</f>
        <v>44352</v>
      </c>
      <c r="C17" s="11">
        <f>'13-2)营业成本预算表（三江居环境卫生)'!C17+'13-2)营业成本预算表（公车服务项目)'!C17+'13-2)营业成本预算表（农场后勤服务)'!C17+'13-2)营业成本预算表（综合培训基地)'!C17+'13-2)营业成本预算表（消防服务项目)'!C17</f>
        <v>149616</v>
      </c>
      <c r="D17" s="11">
        <f>'13-2)营业成本预算表（三江居环境卫生)'!D17+'13-2)营业成本预算表（公车服务项目)'!D17+'13-2)营业成本预算表（农场后勤服务)'!D17+'13-2)营业成本预算表（综合培训基地)'!D17+'13-2)营业成本预算表（消防服务项目)'!D17</f>
        <v>16032</v>
      </c>
      <c r="E17" s="11">
        <f aca="true" t="shared" si="8" ref="E17:E19">C17+D17</f>
        <v>165648</v>
      </c>
      <c r="F17" s="40">
        <f t="shared" si="0"/>
        <v>3.734848484848485</v>
      </c>
      <c r="G17" s="11">
        <f aca="true" t="shared" si="9" ref="G17:G19">SUM(H17:K17)</f>
        <v>4032</v>
      </c>
      <c r="H17" s="11">
        <f>'13-2)营业成本预算表（三江居环境卫生)'!H17+'13-2)营业成本预算表（农场后勤服务)'!H17+'13-2)营业成本预算表（综合培训基地)'!H17+'13-2)营业成本预算表（消防服务项目)'!H17</f>
        <v>1008</v>
      </c>
      <c r="I17" s="11">
        <f>'13-2)营业成本预算表（三江居环境卫生)'!I17+'13-2)营业成本预算表（农场后勤服务)'!I17+'13-2)营业成本预算表（综合培训基地)'!I17+'13-2)营业成本预算表（消防服务项目)'!I17</f>
        <v>1008</v>
      </c>
      <c r="J17" s="11">
        <f>'13-2)营业成本预算表（三江居环境卫生)'!J17+'13-2)营业成本预算表（农场后勤服务)'!J17+'13-2)营业成本预算表（综合培训基地)'!J17+'13-2)营业成本预算表（消防服务项目)'!J17</f>
        <v>1008</v>
      </c>
      <c r="K17" s="11">
        <f>'13-2)营业成本预算表（三江居环境卫生)'!K17+'13-2)营业成本预算表（农场后勤服务)'!K17+'13-2)营业成本预算表（综合培训基地)'!K17+'13-2)营业成本预算表（消防服务项目)'!K17</f>
        <v>1008</v>
      </c>
      <c r="L17" s="41">
        <f t="shared" si="1"/>
        <v>0.02434077079107505</v>
      </c>
      <c r="M17" s="5"/>
    </row>
    <row r="18" spans="1:13" ht="18" customHeight="1">
      <c r="A18" s="72" t="s">
        <v>645</v>
      </c>
      <c r="B18" s="11">
        <f>'13-2)营业成本预算表（三江居环境卫生)'!B18+'13-2)营业成本预算表（公车服务项目)'!B18+'13-2)营业成本预算表（农场后勤服务)'!B18+'13-2)营业成本预算表（综合培训基地)'!B18+'13-2)营业成本预算表（消防服务项目)'!B18</f>
        <v>41430</v>
      </c>
      <c r="C18" s="11">
        <f>'13-2)营业成本预算表（三江居环境卫生)'!C18+'13-2)营业成本预算表（公车服务项目)'!C18+'13-2)营业成本预算表（农场后勤服务)'!C18+'13-2)营业成本预算表（综合培训基地)'!C18+'13-2)营业成本预算表（消防服务项目)'!C18</f>
        <v>22520</v>
      </c>
      <c r="D18" s="11">
        <f>'13-2)营业成本预算表（三江居环境卫生)'!D18+'13-2)营业成本预算表（公车服务项目)'!D18+'13-2)营业成本预算表（农场后勤服务)'!D18+'13-2)营业成本预算表（综合培训基地)'!D18+'13-2)营业成本预算表（消防服务项目)'!D18</f>
        <v>0</v>
      </c>
      <c r="E18" s="11">
        <f t="shared" si="8"/>
        <v>22520</v>
      </c>
      <c r="F18" s="40">
        <f t="shared" si="0"/>
        <v>0.5435674631909244</v>
      </c>
      <c r="G18" s="11">
        <f t="shared" si="9"/>
        <v>40950</v>
      </c>
      <c r="H18" s="11">
        <f>'13-2)营业成本预算表（三江居环境卫生)'!H18+'13-2)营业成本预算表（农场后勤服务)'!H18+'13-2)营业成本预算表（综合培训基地)'!H18+'13-2)营业成本预算表（消防服务项目)'!H18</f>
        <v>0</v>
      </c>
      <c r="I18" s="11">
        <f>'13-2)营业成本预算表（三江居环境卫生)'!I18+'13-2)营业成本预算表（农场后勤服务)'!I18+'13-2)营业成本预算表（综合培训基地)'!I18+'13-2)营业成本预算表（消防服务项目)'!I18</f>
        <v>40950</v>
      </c>
      <c r="J18" s="11">
        <f>'13-2)营业成本预算表（三江居环境卫生)'!J18+'13-2)营业成本预算表（农场后勤服务)'!J18+'13-2)营业成本预算表（综合培训基地)'!J18+'13-2)营业成本预算表（消防服务项目)'!J18</f>
        <v>0</v>
      </c>
      <c r="K18" s="11">
        <f>'13-2)营业成本预算表（三江居环境卫生)'!K18+'13-2)营业成本预算表（农场后勤服务)'!K18+'13-2)营业成本预算表（综合培训基地)'!K18+'13-2)营业成本预算表（消防服务项目)'!K18</f>
        <v>0</v>
      </c>
      <c r="L18" s="41">
        <f t="shared" si="1"/>
        <v>1.8183836589698046</v>
      </c>
      <c r="M18" s="5"/>
    </row>
    <row r="19" spans="1:13" ht="18" customHeight="1">
      <c r="A19" s="72" t="s">
        <v>693</v>
      </c>
      <c r="B19" s="11">
        <f>'13-2)营业成本预算表（三江居环境卫生)'!B19+'13-2)营业成本预算表（公车服务项目)'!B19+'13-2)营业成本预算表（农场后勤服务)'!B19+'13-2)营业成本预算表（综合培训基地)'!B19+'13-2)营业成本预算表（消防服务项目)'!B19</f>
        <v>79936</v>
      </c>
      <c r="C19" s="11">
        <f>'13-2)营业成本预算表（三江居环境卫生)'!C19+'13-2)营业成本预算表（公车服务项目)'!C19+'13-2)营业成本预算表（农场后勤服务)'!C19+'13-2)营业成本预算表（综合培训基地)'!C19+'13-2)营业成本预算表（消防服务项目)'!C19</f>
        <v>41325.09</v>
      </c>
      <c r="D19" s="11">
        <f>'13-2)营业成本预算表（三江居环境卫生)'!D19+'13-2)营业成本预算表（公车服务项目)'!D19+'13-2)营业成本预算表（农场后勤服务)'!D19+'13-2)营业成本预算表（综合培训基地)'!D19+'13-2)营业成本预算表（消防服务项目)'!D19</f>
        <v>0</v>
      </c>
      <c r="E19" s="11">
        <f t="shared" si="8"/>
        <v>41325.09</v>
      </c>
      <c r="F19" s="40">
        <f t="shared" si="0"/>
        <v>0.5169772067654123</v>
      </c>
      <c r="G19" s="11">
        <f t="shared" si="9"/>
        <v>25000</v>
      </c>
      <c r="H19" s="11">
        <f>'13-2)营业成本预算表（三江居环境卫生)'!H19+'13-2)营业成本预算表（农场后勤服务)'!H19+'13-2)营业成本预算表（综合培训基地)'!H19+'13-2)营业成本预算表（消防服务项目)'!H19</f>
        <v>25000</v>
      </c>
      <c r="I19" s="11">
        <f>'13-2)营业成本预算表（三江居环境卫生)'!I19+'13-2)营业成本预算表（农场后勤服务)'!I19+'13-2)营业成本预算表（综合培训基地)'!I19+'13-2)营业成本预算表（消防服务项目)'!I19</f>
        <v>0</v>
      </c>
      <c r="J19" s="11">
        <f>'13-2)营业成本预算表（三江居环境卫生)'!J19+'13-2)营业成本预算表（农场后勤服务)'!J19+'13-2)营业成本预算表（综合培训基地)'!J19+'13-2)营业成本预算表（消防服务项目)'!J19</f>
        <v>0</v>
      </c>
      <c r="K19" s="11">
        <f>'13-2)营业成本预算表（三江居环境卫生)'!K19+'13-2)营业成本预算表（农场后勤服务)'!K19+'13-2)营业成本预算表（综合培训基地)'!K19+'13-2)营业成本预算表（消防服务项目)'!K19</f>
        <v>0</v>
      </c>
      <c r="L19" s="41">
        <f t="shared" si="1"/>
        <v>0.6049593600401113</v>
      </c>
      <c r="M19" s="5"/>
    </row>
    <row r="20" spans="1:13" ht="18" customHeight="1">
      <c r="A20" s="72" t="s">
        <v>647</v>
      </c>
      <c r="B20" s="11">
        <f aca="true" t="shared" si="10" ref="B20:K20">SUM(B21:B22)</f>
        <v>930659.28</v>
      </c>
      <c r="C20" s="11">
        <f t="shared" si="10"/>
        <v>864452.71</v>
      </c>
      <c r="D20" s="11">
        <f t="shared" si="10"/>
        <v>86382.41</v>
      </c>
      <c r="E20" s="11">
        <f t="shared" si="10"/>
        <v>950835.12</v>
      </c>
      <c r="F20" s="40">
        <f t="shared" si="0"/>
        <v>1.0216790832408613</v>
      </c>
      <c r="G20" s="11">
        <f t="shared" si="10"/>
        <v>1122553.0199999996</v>
      </c>
      <c r="H20" s="11">
        <f t="shared" si="10"/>
        <v>305226.56999999995</v>
      </c>
      <c r="I20" s="11">
        <f t="shared" si="10"/>
        <v>272442.1499999999</v>
      </c>
      <c r="J20" s="11">
        <f t="shared" si="10"/>
        <v>272442.1499999999</v>
      </c>
      <c r="K20" s="11">
        <f t="shared" si="10"/>
        <v>272442.1499999999</v>
      </c>
      <c r="L20" s="41">
        <f t="shared" si="1"/>
        <v>1.1805969262052496</v>
      </c>
      <c r="M20" s="5"/>
    </row>
    <row r="21" spans="1:13" ht="18" customHeight="1">
      <c r="A21" s="72" t="s">
        <v>648</v>
      </c>
      <c r="B21" s="11">
        <f>'13-2)营业成本预算表（三江居环境卫生)'!B21+'13-2)营业成本预算表（公车服务项目)'!B21+'13-2)营业成本预算表（农场后勤服务)'!B21+'13-2)营业成本预算表（综合培训基地)'!B21+'13-2)营业成本预算表（消防服务项目)'!B21</f>
        <v>837246</v>
      </c>
      <c r="C21" s="11">
        <f>'13-2)营业成本预算表（三江居环境卫生)'!C21+'13-2)营业成本预算表（公车服务项目)'!C21+'13-2)营业成本预算表（农场后勤服务)'!C21+'13-2)营业成本预算表（综合培训基地)'!C21+'13-2)营业成本预算表（消防服务项目)'!C21</f>
        <v>766861.9</v>
      </c>
      <c r="D21" s="11">
        <f>'13-2)营业成本预算表（三江居环境卫生)'!D21+'13-2)营业成本预算表（公车服务项目)'!D21+'13-2)营业成本预算表（农场后勤服务)'!D21+'13-2)营业成本预算表（综合培训基地)'!D21+'13-2)营业成本预算表（消防服务项目)'!D21</f>
        <v>74728.72</v>
      </c>
      <c r="E21" s="11">
        <f aca="true" t="shared" si="11" ref="E21:E26">C21+D21</f>
        <v>841590.62</v>
      </c>
      <c r="F21" s="40">
        <f t="shared" si="0"/>
        <v>1.005189179763176</v>
      </c>
      <c r="G21" s="11">
        <f aca="true" t="shared" si="12" ref="G21:G26">SUM(H21:K21)</f>
        <v>990973.7999999996</v>
      </c>
      <c r="H21" s="11">
        <f>'13-2)营业成本预算表（三江居环境卫生)'!H21+'13-2)营业成本预算表（农场后勤服务)'!H21+'13-2)营业成本预算表（综合培训基地)'!H21+'13-2)营业成本预算表（消防服务项目)'!H21</f>
        <v>269119.1699999999</v>
      </c>
      <c r="I21" s="11">
        <f>'13-2)营业成本预算表（三江居环境卫生)'!I21+'13-2)营业成本预算表（农场后勤服务)'!I21+'13-2)营业成本预算表（综合培训基地)'!I21+'13-2)营业成本预算表（消防服务项目)'!I21</f>
        <v>240618.2099999999</v>
      </c>
      <c r="J21" s="11">
        <f>'13-2)营业成本预算表（三江居环境卫生)'!J21+'13-2)营业成本预算表（农场后勤服务)'!J21+'13-2)营业成本预算表（综合培训基地)'!J21+'13-2)营业成本预算表（消防服务项目)'!J21</f>
        <v>240618.2099999999</v>
      </c>
      <c r="K21" s="11">
        <f>'13-2)营业成本预算表（三江居环境卫生)'!K21+'13-2)营业成本预算表（农场后勤服务)'!K21+'13-2)营业成本预算表（综合培训基地)'!K21+'13-2)营业成本预算表（消防服务项目)'!K21</f>
        <v>240618.2099999999</v>
      </c>
      <c r="L21" s="41">
        <f t="shared" si="1"/>
        <v>1.1775010039917027</v>
      </c>
      <c r="M21" s="5"/>
    </row>
    <row r="22" spans="1:13" ht="18" customHeight="1">
      <c r="A22" s="72" t="s">
        <v>649</v>
      </c>
      <c r="B22" s="11">
        <f>'13-2)营业成本预算表（三江居环境卫生)'!B22+'13-2)营业成本预算表（公车服务项目)'!B22+'13-2)营业成本预算表（农场后勤服务)'!B22+'13-2)营业成本预算表（综合培训基地)'!B22+'13-2)营业成本预算表（消防服务项目)'!B22</f>
        <v>93413.28</v>
      </c>
      <c r="C22" s="11">
        <f>'13-2)营业成本预算表（三江居环境卫生)'!C22+'13-2)营业成本预算表（公车服务项目)'!C22+'13-2)营业成本预算表（农场后勤服务)'!C22+'13-2)营业成本预算表（综合培训基地)'!C22+'13-2)营业成本预算表（消防服务项目)'!C22</f>
        <v>97590.81</v>
      </c>
      <c r="D22" s="11">
        <f>'13-2)营业成本预算表（三江居环境卫生)'!D22+'13-2)营业成本预算表（公车服务项目)'!D22+'13-2)营业成本预算表（农场后勤服务)'!D22+'13-2)营业成本预算表（综合培训基地)'!D22+'13-2)营业成本预算表（消防服务项目)'!D22</f>
        <v>11653.689999999999</v>
      </c>
      <c r="E22" s="11">
        <f t="shared" si="11"/>
        <v>109244.5</v>
      </c>
      <c r="F22" s="40">
        <f t="shared" si="0"/>
        <v>1.1694750468027673</v>
      </c>
      <c r="G22" s="11">
        <f t="shared" si="12"/>
        <v>131579.22000000006</v>
      </c>
      <c r="H22" s="11">
        <f>'13-2)营业成本预算表（三江居环境卫生)'!H22+'13-2)营业成本预算表（农场后勤服务)'!H22+'13-2)营业成本预算表（综合培训基地)'!H22+'13-2)营业成本预算表（消防服务项目)'!H22</f>
        <v>36107.400000000016</v>
      </c>
      <c r="I22" s="11">
        <f>'13-2)营业成本预算表（三江居环境卫生)'!I22+'13-2)营业成本预算表（农场后勤服务)'!I22+'13-2)营业成本预算表（综合培训基地)'!I22+'13-2)营业成本预算表（消防服务项目)'!I22</f>
        <v>31823.940000000017</v>
      </c>
      <c r="J22" s="11">
        <f>'13-2)营业成本预算表（三江居环境卫生)'!J22+'13-2)营业成本预算表（农场后勤服务)'!J22+'13-2)营业成本预算表（综合培训基地)'!J22+'13-2)营业成本预算表（消防服务项目)'!J22</f>
        <v>31823.940000000017</v>
      </c>
      <c r="K22" s="11">
        <f>'13-2)营业成本预算表（三江居环境卫生)'!K22+'13-2)营业成本预算表（农场后勤服务)'!K22+'13-2)营业成本预算表（综合培训基地)'!K22+'13-2)营业成本预算表（消防服务项目)'!K22</f>
        <v>31823.940000000017</v>
      </c>
      <c r="L22" s="41">
        <f t="shared" si="1"/>
        <v>1.2044470888694632</v>
      </c>
      <c r="M22" s="5"/>
    </row>
    <row r="23" spans="1:13" ht="18" customHeight="1">
      <c r="A23" s="72" t="s">
        <v>650</v>
      </c>
      <c r="B23" s="11">
        <f>'13-2)营业成本预算表（三江居环境卫生)'!B23+'13-2)营业成本预算表（公车服务项目)'!B23+'13-2)营业成本预算表（农场后勤服务)'!B23+'13-2)营业成本预算表（综合培训基地)'!B23+'13-2)营业成本预算表（消防服务项目)'!B23</f>
        <v>165288</v>
      </c>
      <c r="C23" s="11">
        <f>'13-2)营业成本预算表（三江居环境卫生)'!C23+'13-2)营业成本预算表（公车服务项目)'!C23+'13-2)营业成本预算表（农场后勤服务)'!C23+'13-2)营业成本预算表（综合培训基地)'!C23+'13-2)营业成本预算表（消防服务项目)'!C23</f>
        <v>159635</v>
      </c>
      <c r="D23" s="11">
        <f>'13-2)营业成本预算表（三江居环境卫生)'!D23+'13-2)营业成本预算表（公车服务项目)'!D23+'13-2)营业成本预算表（农场后勤服务)'!D23+'13-2)营业成本预算表（综合培训基地)'!D23+'13-2)营业成本预算表（消防服务项目)'!D23</f>
        <v>14117</v>
      </c>
      <c r="E23" s="11">
        <f t="shared" si="11"/>
        <v>173752</v>
      </c>
      <c r="F23" s="40">
        <f t="shared" si="0"/>
        <v>1.0512075891776778</v>
      </c>
      <c r="G23" s="11">
        <f t="shared" si="12"/>
        <v>225597</v>
      </c>
      <c r="H23" s="11">
        <f>'13-2)营业成本预算表（三江居环境卫生)'!H23+'13-2)营业成本预算表（农场后勤服务)'!H23+'13-2)营业成本预算表（综合培训基地)'!H23+'13-2)营业成本预算表（消防服务项目)'!H23</f>
        <v>59853</v>
      </c>
      <c r="I23" s="11">
        <f>'13-2)营业成本预算表（三江居环境卫生)'!I23+'13-2)营业成本预算表（农场后勤服务)'!I23+'13-2)营业成本预算表（综合培训基地)'!I23+'13-2)营业成本预算表（消防服务项目)'!I23</f>
        <v>55248</v>
      </c>
      <c r="J23" s="11">
        <f>'13-2)营业成本预算表（三江居环境卫生)'!J23+'13-2)营业成本预算表（农场后勤服务)'!J23+'13-2)营业成本预算表（综合培训基地)'!J23+'13-2)营业成本预算表（消防服务项目)'!J23</f>
        <v>55248</v>
      </c>
      <c r="K23" s="11">
        <f>'13-2)营业成本预算表（三江居环境卫生)'!K23+'13-2)营业成本预算表（农场后勤服务)'!K23+'13-2)营业成本预算表（综合培训基地)'!K23+'13-2)营业成本预算表（消防服务项目)'!K23</f>
        <v>55248</v>
      </c>
      <c r="L23" s="41">
        <f t="shared" si="1"/>
        <v>1.298385054560523</v>
      </c>
      <c r="M23" s="5"/>
    </row>
    <row r="24" spans="1:13" ht="18" customHeight="1">
      <c r="A24" s="72" t="s">
        <v>651</v>
      </c>
      <c r="B24" s="11">
        <f>'13-2)营业成本预算表（三江居环境卫生)'!B24+'13-2)营业成本预算表（公车服务项目)'!B24+'13-2)营业成本预算表（农场后勤服务)'!B24+'13-2)营业成本预算表（综合培训基地)'!B24+'13-2)营业成本预算表（消防服务项目)'!B24</f>
        <v>47128.380000000005</v>
      </c>
      <c r="C24" s="11">
        <f>'13-2)营业成本预算表（三江居环境卫生)'!C24+'13-2)营业成本预算表（公车服务项目)'!C24+'13-2)营业成本预算表（农场后勤服务)'!C24+'13-2)营业成本预算表（综合培训基地)'!C24+'13-2)营业成本预算表（消防服务项目)'!C24</f>
        <v>0</v>
      </c>
      <c r="D24" s="11">
        <f>'13-2)营业成本预算表（三江居环境卫生)'!D24+'13-2)营业成本预算表（公车服务项目)'!D24+'13-2)营业成本预算表（农场后勤服务)'!D24+'13-2)营业成本预算表（综合培训基地)'!D24+'13-2)营业成本预算表（消防服务项目)'!D24</f>
        <v>0</v>
      </c>
      <c r="E24" s="11">
        <f t="shared" si="11"/>
        <v>0</v>
      </c>
      <c r="F24" s="40">
        <f t="shared" si="0"/>
        <v>0</v>
      </c>
      <c r="G24" s="11">
        <f t="shared" si="12"/>
        <v>24523.049999999985</v>
      </c>
      <c r="H24" s="11">
        <f>'13-2)营业成本预算表（三江居环境卫生)'!H24+'13-2)营业成本预算表（农场后勤服务)'!H24+'13-2)营业成本预算表（综合培训基地)'!H24+'13-2)营业成本预算表（消防服务项目)'!H24</f>
        <v>6130.762499999996</v>
      </c>
      <c r="I24" s="11">
        <f>'13-2)营业成本预算表（三江居环境卫生)'!I24+'13-2)营业成本预算表（农场后勤服务)'!I24+'13-2)营业成本预算表（综合培训基地)'!I24+'13-2)营业成本预算表（消防服务项目)'!I24</f>
        <v>6130.762499999996</v>
      </c>
      <c r="J24" s="11">
        <f>'13-2)营业成本预算表（三江居环境卫生)'!J24+'13-2)营业成本预算表（农场后勤服务)'!J24+'13-2)营业成本预算表（综合培训基地)'!J24+'13-2)营业成本预算表（消防服务项目)'!J24</f>
        <v>6130.762499999996</v>
      </c>
      <c r="K24" s="11">
        <f>'13-2)营业成本预算表（三江居环境卫生)'!K24+'13-2)营业成本预算表（农场后勤服务)'!K24+'13-2)营业成本预算表（综合培训基地)'!K24+'13-2)营业成本预算表（消防服务项目)'!K24</f>
        <v>6130.762499999996</v>
      </c>
      <c r="L24" s="41" t="e">
        <f t="shared" si="1"/>
        <v>#DIV/0!</v>
      </c>
      <c r="M24" s="5"/>
    </row>
    <row r="25" spans="1:13" ht="18" customHeight="1">
      <c r="A25" s="72" t="s">
        <v>652</v>
      </c>
      <c r="B25" s="11">
        <f>'13-2)营业成本预算表（三江居环境卫生)'!B25+'13-2)营业成本预算表（公车服务项目)'!B25+'13-2)营业成本预算表（农场后勤服务)'!B25+'13-2)营业成本预算表（综合培训基地)'!B25+'13-2)营业成本预算表（消防服务项目)'!B25</f>
        <v>62837.840000000004</v>
      </c>
      <c r="C25" s="11">
        <f>'13-2)营业成本预算表（三江居环境卫生)'!C25+'13-2)营业成本预算表（公车服务项目)'!C25+'13-2)营业成本预算表（农场后勤服务)'!C25+'13-2)营业成本预算表（综合培训基地)'!C25+'13-2)营业成本预算表（消防服务项目)'!C25</f>
        <v>0</v>
      </c>
      <c r="D25" s="11">
        <f>'13-2)营业成本预算表（三江居环境卫生)'!D25+'13-2)营业成本预算表（公车服务项目)'!D25+'13-2)营业成本预算表（农场后勤服务)'!D25+'13-2)营业成本预算表（综合培训基地)'!D25+'13-2)营业成本预算表（消防服务项目)'!D25</f>
        <v>0</v>
      </c>
      <c r="E25" s="11">
        <f t="shared" si="11"/>
        <v>0</v>
      </c>
      <c r="F25" s="40">
        <f t="shared" si="0"/>
        <v>0</v>
      </c>
      <c r="G25" s="11">
        <f t="shared" si="12"/>
        <v>66946.88000000003</v>
      </c>
      <c r="H25" s="11">
        <f>'13-2)营业成本预算表（三江居环境卫生)'!H25+'13-2)营业成本预算表（农场后勤服务)'!H25+'13-2)营业成本预算表（综合培训基地)'!H25+'13-2)营业成本预算表（消防服务项目)'!H25</f>
        <v>17506.76000000001</v>
      </c>
      <c r="I25" s="11">
        <f>'13-2)营业成本预算表（三江居环境卫生)'!I25+'13-2)营业成本预算表（农场后勤服务)'!I25+'13-2)营业成本预算表（综合培训基地)'!I25+'13-2)营业成本预算表（消防服务项目)'!I25</f>
        <v>16480.040000000008</v>
      </c>
      <c r="J25" s="11">
        <f>'13-2)营业成本预算表（三江居环境卫生)'!J25+'13-2)营业成本预算表（农场后勤服务)'!J25+'13-2)营业成本预算表（综合培训基地)'!J25+'13-2)营业成本预算表（消防服务项目)'!J25</f>
        <v>16480.040000000008</v>
      </c>
      <c r="K25" s="11">
        <f>'13-2)营业成本预算表（三江居环境卫生)'!K25+'13-2)营业成本预算表（农场后勤服务)'!K25+'13-2)营业成本预算表（综合培训基地)'!K25+'13-2)营业成本预算表（消防服务项目)'!K25</f>
        <v>16480.040000000008</v>
      </c>
      <c r="L25" s="41" t="e">
        <f t="shared" si="1"/>
        <v>#DIV/0!</v>
      </c>
      <c r="M25" s="5"/>
    </row>
    <row r="26" spans="1:13" ht="18" customHeight="1">
      <c r="A26" s="108" t="s">
        <v>653</v>
      </c>
      <c r="B26" s="11">
        <f>'13-2)营业成本预算表（三江居环境卫生)'!B26+'13-2)营业成本预算表（公车服务项目)'!B26+'13-2)营业成本预算表（农场后勤服务)'!B26+'13-2)营业成本预算表（综合培训基地)'!B26+'13-2)营业成本预算表（消防服务项目)'!B26</f>
        <v>155625</v>
      </c>
      <c r="C26" s="11">
        <f>'13-2)营业成本预算表（三江居环境卫生)'!C26+'13-2)营业成本预算表（公车服务项目)'!C26+'13-2)营业成本预算表（农场后勤服务)'!C26+'13-2)营业成本预算表（综合培训基地)'!C26+'13-2)营业成本预算表（消防服务项目)'!C26</f>
        <v>266659.98</v>
      </c>
      <c r="D26" s="11">
        <f>'13-2)营业成本预算表（三江居环境卫生)'!D26+'13-2)营业成本预算表（公车服务项目)'!D26+'13-2)营业成本预算表（农场后勤服务)'!D26+'13-2)营业成本预算表（综合培训基地)'!D26+'13-2)营业成本预算表（消防服务项目)'!D26</f>
        <v>0</v>
      </c>
      <c r="E26" s="11">
        <f t="shared" si="11"/>
        <v>266659.98</v>
      </c>
      <c r="F26" s="40">
        <f t="shared" si="0"/>
        <v>1.71347778313253</v>
      </c>
      <c r="G26" s="11">
        <f t="shared" si="12"/>
        <v>490084.4</v>
      </c>
      <c r="H26" s="11">
        <f>'13-2)营业成本预算表（三江居环境卫生)'!H26+'13-2)营业成本预算表（农场后勤服务)'!H26+'13-2)营业成本预算表（综合培训基地)'!H26+'13-2)营业成本预算表（消防服务项目)'!H26</f>
        <v>133771.1</v>
      </c>
      <c r="I26" s="11">
        <f>'13-2)营业成本预算表（三江居环境卫生)'!I26+'13-2)营业成本预算表（农场后勤服务)'!I26+'13-2)营业成本预算表（综合培训基地)'!I26+'13-2)营业成本预算表（消防服务项目)'!I26</f>
        <v>118771.1</v>
      </c>
      <c r="J26" s="11">
        <f>'13-2)营业成本预算表（三江居环境卫生)'!J26+'13-2)营业成本预算表（农场后勤服务)'!J26+'13-2)营业成本预算表（综合培训基地)'!J26+'13-2)营业成本预算表（消防服务项目)'!J26</f>
        <v>118771.1</v>
      </c>
      <c r="K26" s="11">
        <f>'13-2)营业成本预算表（三江居环境卫生)'!K26+'13-2)营业成本预算表（农场后勤服务)'!K26+'13-2)营业成本预算表（综合培训基地)'!K26+'13-2)营业成本预算表（消防服务项目)'!K26</f>
        <v>118771.1</v>
      </c>
      <c r="L26" s="41">
        <f t="shared" si="1"/>
        <v>1.8378625844043042</v>
      </c>
      <c r="M26" s="5"/>
    </row>
    <row r="27" spans="1:13" ht="18" customHeight="1">
      <c r="A27" s="108" t="s">
        <v>654</v>
      </c>
      <c r="B27" s="11">
        <f aca="true" t="shared" si="13" ref="B27:K27">SUM(B28:B31)</f>
        <v>0</v>
      </c>
      <c r="C27" s="11">
        <f t="shared" si="13"/>
        <v>310933.99</v>
      </c>
      <c r="D27" s="11">
        <f t="shared" si="13"/>
        <v>78200</v>
      </c>
      <c r="E27" s="11">
        <f t="shared" si="13"/>
        <v>389133.99</v>
      </c>
      <c r="F27" s="40" t="e">
        <f t="shared" si="0"/>
        <v>#DIV/0!</v>
      </c>
      <c r="G27" s="11">
        <f t="shared" si="13"/>
        <v>390780</v>
      </c>
      <c r="H27" s="11">
        <f t="shared" si="13"/>
        <v>86040</v>
      </c>
      <c r="I27" s="11">
        <f t="shared" si="13"/>
        <v>86040</v>
      </c>
      <c r="J27" s="11">
        <f t="shared" si="13"/>
        <v>109350</v>
      </c>
      <c r="K27" s="11">
        <f t="shared" si="13"/>
        <v>109350</v>
      </c>
      <c r="L27" s="41">
        <f t="shared" si="1"/>
        <v>1.0042299311864276</v>
      </c>
      <c r="M27" s="5"/>
    </row>
    <row r="28" spans="1:13" ht="18" customHeight="1">
      <c r="A28" s="108" t="s">
        <v>655</v>
      </c>
      <c r="B28" s="11">
        <f>'13-2)营业成本预算表（三江居环境卫生)'!B28+'13-2)营业成本预算表（公车服务项目)'!B28+'13-2)营业成本预算表（农场后勤服务)'!B28+'13-2)营业成本预算表（综合培训基地)'!B28+'13-2)营业成本预算表（消防服务项目)'!B28</f>
        <v>0</v>
      </c>
      <c r="C28" s="11">
        <f>'13-2)营业成本预算表（三江居环境卫生)'!C28+'13-2)营业成本预算表（公车服务项目)'!C28+'13-2)营业成本预算表（农场后勤服务)'!C28+'13-2)营业成本预算表（综合培训基地)'!C28+'13-2)营业成本预算表（消防服务项目)'!C28</f>
        <v>202396.24</v>
      </c>
      <c r="D28" s="11">
        <f>'13-2)营业成本预算表（三江居环境卫生)'!D28+'13-2)营业成本预算表（公车服务项目)'!D28+'13-2)营业成本预算表（农场后勤服务)'!D28+'13-2)营业成本预算表（综合培训基地)'!D28+'13-2)营业成本预算表（消防服务项目)'!D28</f>
        <v>43000</v>
      </c>
      <c r="E28" s="11">
        <f aca="true" t="shared" si="14" ref="E28:E31">C28+D28</f>
        <v>245396.24</v>
      </c>
      <c r="F28" s="40" t="e">
        <f t="shared" si="0"/>
        <v>#DIV/0!</v>
      </c>
      <c r="G28" s="11">
        <f aca="true" t="shared" si="15" ref="G28:G31">SUM(H28:K28)</f>
        <v>212000</v>
      </c>
      <c r="H28" s="11">
        <f>'13-2)营业成本预算表（三江居环境卫生)'!H28+'13-2)营业成本预算表（农场后勤服务)'!H28+'13-2)营业成本预算表（综合培训基地)'!H28+'13-2)营业成本预算表（消防服务项目)'!H28</f>
        <v>53000</v>
      </c>
      <c r="I28" s="11">
        <f>'13-2)营业成本预算表（三江居环境卫生)'!I28+'13-2)营业成本预算表（农场后勤服务)'!I28+'13-2)营业成本预算表（综合培训基地)'!I28+'13-2)营业成本预算表（消防服务项目)'!I28</f>
        <v>53000</v>
      </c>
      <c r="J28" s="11">
        <f>'13-2)营业成本预算表（三江居环境卫生)'!J28+'13-2)营业成本预算表（农场后勤服务)'!J28+'13-2)营业成本预算表（综合培训基地)'!J28+'13-2)营业成本预算表（消防服务项目)'!J28</f>
        <v>53000</v>
      </c>
      <c r="K28" s="11">
        <f>'13-2)营业成本预算表（三江居环境卫生)'!K28+'13-2)营业成本预算表（农场后勤服务)'!K28+'13-2)营业成本预算表（综合培训基地)'!K28+'13-2)营业成本预算表（消防服务项目)'!K28</f>
        <v>53000</v>
      </c>
      <c r="L28" s="41">
        <f t="shared" si="1"/>
        <v>0.863908917267844</v>
      </c>
      <c r="M28" s="5"/>
    </row>
    <row r="29" spans="1:13" ht="18" customHeight="1">
      <c r="A29" s="108" t="s">
        <v>656</v>
      </c>
      <c r="B29" s="11">
        <f>'13-2)营业成本预算表（三江居环境卫生)'!B29+'13-2)营业成本预算表（公车服务项目)'!B29+'13-2)营业成本预算表（农场后勤服务)'!B29+'13-2)营业成本预算表（综合培训基地)'!B29+'13-2)营业成本预算表（消防服务项目)'!B29</f>
        <v>0</v>
      </c>
      <c r="C29" s="11">
        <f>'13-2)营业成本预算表（三江居环境卫生)'!C29+'13-2)营业成本预算表（公车服务项目)'!C29+'13-2)营业成本预算表（农场后勤服务)'!C29+'13-2)营业成本预算表（综合培训基地)'!C29+'13-2)营业成本预算表（消防服务项目)'!C29</f>
        <v>64502.619999999995</v>
      </c>
      <c r="D29" s="11">
        <f>'13-2)营业成本预算表（三江居环境卫生)'!D29+'13-2)营业成本预算表（公车服务项目)'!D29+'13-2)营业成本预算表（农场后勤服务)'!D29+'13-2)营业成本预算表（综合培训基地)'!D29+'13-2)营业成本预算表（消防服务项目)'!D29</f>
        <v>2000</v>
      </c>
      <c r="E29" s="11">
        <f t="shared" si="14"/>
        <v>66502.62</v>
      </c>
      <c r="F29" s="40" t="e">
        <f t="shared" si="0"/>
        <v>#DIV/0!</v>
      </c>
      <c r="G29" s="11">
        <f t="shared" si="15"/>
        <v>49500</v>
      </c>
      <c r="H29" s="11">
        <f>'13-2)营业成本预算表（三江居环境卫生)'!H29+'13-2)营业成本预算表（农场后勤服务)'!H29+'13-2)营业成本预算表（综合培训基地)'!H29+'13-2)营业成本预算表（消防服务项目)'!H29</f>
        <v>0</v>
      </c>
      <c r="I29" s="11">
        <f>'13-2)营业成本预算表（三江居环境卫生)'!I29+'13-2)营业成本预算表（农场后勤服务)'!I29+'13-2)营业成本预算表（综合培训基地)'!I29+'13-2)营业成本预算表（消防服务项目)'!I29</f>
        <v>0</v>
      </c>
      <c r="J29" s="11">
        <f>'13-2)营业成本预算表（三江居环境卫生)'!J29+'13-2)营业成本预算表（农场后勤服务)'!J29+'13-2)营业成本预算表（综合培训基地)'!J29+'13-2)营业成本预算表（消防服务项目)'!J29</f>
        <v>24750</v>
      </c>
      <c r="K29" s="11">
        <f>'13-2)营业成本预算表（三江居环境卫生)'!K29+'13-2)营业成本预算表（农场后勤服务)'!K29+'13-2)营业成本预算表（综合培训基地)'!K29+'13-2)营业成本预算表（消防服务项目)'!K29</f>
        <v>24750</v>
      </c>
      <c r="L29" s="41">
        <f t="shared" si="1"/>
        <v>0.7443315767108123</v>
      </c>
      <c r="M29" s="5"/>
    </row>
    <row r="30" spans="1:13" ht="18" customHeight="1">
      <c r="A30" s="108" t="s">
        <v>657</v>
      </c>
      <c r="B30" s="11">
        <f>'13-2)营业成本预算表（三江居环境卫生)'!B30+'13-2)营业成本预算表（公车服务项目)'!B30+'13-2)营业成本预算表（农场后勤服务)'!B30+'13-2)营业成本预算表（综合培训基地)'!B30+'13-2)营业成本预算表（消防服务项目)'!B30</f>
        <v>0</v>
      </c>
      <c r="C30" s="11">
        <f>'13-2)营业成本预算表（三江居环境卫生)'!C30+'13-2)营业成本预算表（公车服务项目)'!C30+'13-2)营业成本预算表（农场后勤服务)'!C30+'13-2)营业成本预算表（综合培训基地)'!C30+'13-2)营业成本预算表（消防服务项目)'!C30</f>
        <v>41835.130000000005</v>
      </c>
      <c r="D30" s="11">
        <f>'13-2)营业成本预算表（三江居环境卫生)'!D30+'13-2)营业成本预算表（公车服务项目)'!D30+'13-2)营业成本预算表（农场后勤服务)'!D30+'13-2)营业成本预算表（综合培训基地)'!D30+'13-2)营业成本预算表（消防服务项目)'!D30</f>
        <v>30200</v>
      </c>
      <c r="E30" s="11">
        <f t="shared" si="14"/>
        <v>72035.13</v>
      </c>
      <c r="F30" s="40" t="e">
        <f t="shared" si="0"/>
        <v>#DIV/0!</v>
      </c>
      <c r="G30" s="11">
        <f t="shared" si="15"/>
        <v>129280</v>
      </c>
      <c r="H30" s="11">
        <f>'13-2)营业成本预算表（三江居环境卫生)'!H30+'13-2)营业成本预算表（农场后勤服务)'!H30+'13-2)营业成本预算表（综合培训基地)'!H30+'13-2)营业成本预算表（消防服务项目)'!H30</f>
        <v>33040</v>
      </c>
      <c r="I30" s="11">
        <f>'13-2)营业成本预算表（三江居环境卫生)'!I30+'13-2)营业成本预算表（农场后勤服务)'!I30+'13-2)营业成本预算表（综合培训基地)'!I30+'13-2)营业成本预算表（消防服务项目)'!I30</f>
        <v>33040</v>
      </c>
      <c r="J30" s="11">
        <f>'13-2)营业成本预算表（三江居环境卫生)'!J30+'13-2)营业成本预算表（农场后勤服务)'!J30+'13-2)营业成本预算表（综合培训基地)'!J30+'13-2)营业成本预算表（消防服务项目)'!J30</f>
        <v>31600</v>
      </c>
      <c r="K30" s="11">
        <f>'13-2)营业成本预算表（三江居环境卫生)'!K30+'13-2)营业成本预算表（农场后勤服务)'!K30+'13-2)营业成本预算表（综合培训基地)'!K30+'13-2)营业成本预算表（消防服务项目)'!K30</f>
        <v>31600</v>
      </c>
      <c r="L30" s="41">
        <f t="shared" si="1"/>
        <v>1.7946799013203696</v>
      </c>
      <c r="M30" s="5"/>
    </row>
    <row r="31" spans="1:13" ht="18" customHeight="1">
      <c r="A31" s="108" t="s">
        <v>658</v>
      </c>
      <c r="B31" s="11">
        <f>'13-2)营业成本预算表（三江居环境卫生)'!B31+'13-2)营业成本预算表（公车服务项目)'!B31+'13-2)营业成本预算表（农场后勤服务)'!B31+'13-2)营业成本预算表（综合培训基地)'!B31+'13-2)营业成本预算表（消防服务项目)'!B31</f>
        <v>0</v>
      </c>
      <c r="C31" s="11">
        <f>'13-2)营业成本预算表（三江居环境卫生)'!C31+'13-2)营业成本预算表（公车服务项目)'!C31+'13-2)营业成本预算表（农场后勤服务)'!C31+'13-2)营业成本预算表（综合培训基地)'!C31+'13-2)营业成本预算表（消防服务项目)'!C31</f>
        <v>2200</v>
      </c>
      <c r="D31" s="11">
        <f>'13-2)营业成本预算表（三江居环境卫生)'!D31+'13-2)营业成本预算表（公车服务项目)'!D31+'13-2)营业成本预算表（农场后勤服务)'!D31+'13-2)营业成本预算表（综合培训基地)'!D31+'13-2)营业成本预算表（消防服务项目)'!D31</f>
        <v>3000</v>
      </c>
      <c r="E31" s="11">
        <f t="shared" si="14"/>
        <v>5200</v>
      </c>
      <c r="F31" s="40" t="e">
        <f t="shared" si="0"/>
        <v>#DIV/0!</v>
      </c>
      <c r="G31" s="11">
        <f t="shared" si="15"/>
        <v>0</v>
      </c>
      <c r="H31" s="11">
        <f>'13-2)营业成本预算表（三江居环境卫生)'!H31+'13-2)营业成本预算表（农场后勤服务)'!H31+'13-2)营业成本预算表（综合培训基地)'!H31+'13-2)营业成本预算表（消防服务项目)'!H31</f>
        <v>0</v>
      </c>
      <c r="I31" s="11">
        <f>'13-2)营业成本预算表（三江居环境卫生)'!I31+'13-2)营业成本预算表（农场后勤服务)'!I31+'13-2)营业成本预算表（综合培训基地)'!I31+'13-2)营业成本预算表（消防服务项目)'!I31</f>
        <v>0</v>
      </c>
      <c r="J31" s="11">
        <f>'13-2)营业成本预算表（三江居环境卫生)'!J31+'13-2)营业成本预算表（农场后勤服务)'!J31+'13-2)营业成本预算表（综合培训基地)'!J31+'13-2)营业成本预算表（消防服务项目)'!J31</f>
        <v>0</v>
      </c>
      <c r="K31" s="11">
        <f>'13-2)营业成本预算表（三江居环境卫生)'!K31+'13-2)营业成本预算表（农场后勤服务)'!K31+'13-2)营业成本预算表（综合培训基地)'!K31+'13-2)营业成本预算表（消防服务项目)'!K31</f>
        <v>0</v>
      </c>
      <c r="L31" s="41">
        <f t="shared" si="1"/>
        <v>0</v>
      </c>
      <c r="M31" s="5"/>
    </row>
    <row r="32" spans="1:13" ht="18" customHeight="1">
      <c r="A32" s="25" t="s">
        <v>694</v>
      </c>
      <c r="B32" s="26">
        <f aca="true" t="shared" si="16" ref="B32:K32">SUM(B33:B42)</f>
        <v>25800</v>
      </c>
      <c r="C32" s="26">
        <f t="shared" si="16"/>
        <v>74505.43</v>
      </c>
      <c r="D32" s="26">
        <f t="shared" si="16"/>
        <v>2400</v>
      </c>
      <c r="E32" s="26">
        <f t="shared" si="16"/>
        <v>76905.43</v>
      </c>
      <c r="F32" s="40">
        <f t="shared" si="0"/>
        <v>2.9808306201550385</v>
      </c>
      <c r="G32" s="26">
        <f t="shared" si="16"/>
        <v>59290</v>
      </c>
      <c r="H32" s="26">
        <f t="shared" si="16"/>
        <v>15422.5</v>
      </c>
      <c r="I32" s="26">
        <f t="shared" si="16"/>
        <v>14622.5</v>
      </c>
      <c r="J32" s="26">
        <f t="shared" si="16"/>
        <v>14622.5</v>
      </c>
      <c r="K32" s="26">
        <f t="shared" si="16"/>
        <v>14622.5</v>
      </c>
      <c r="L32" s="41">
        <f t="shared" si="1"/>
        <v>0.7709468629198225</v>
      </c>
      <c r="M32" s="5"/>
    </row>
    <row r="33" spans="1:13" ht="18" customHeight="1">
      <c r="A33" s="25" t="s">
        <v>660</v>
      </c>
      <c r="B33" s="11">
        <f>'13-2)营业成本预算表（三江居环境卫生)'!B33+'13-2)营业成本预算表（公车服务项目)'!B33+'13-2)营业成本预算表（农场后勤服务)'!B33+'13-2)营业成本预算表（综合培训基地)'!B33+'13-2)营业成本预算表（消防服务项目)'!B33</f>
        <v>2500</v>
      </c>
      <c r="C33" s="11">
        <f>'13-2)营业成本预算表（三江居环境卫生)'!C33+'13-2)营业成本预算表（公车服务项目)'!C33+'13-2)营业成本预算表（农场后勤服务)'!C33+'13-2)营业成本预算表（综合培训基地)'!C33+'13-2)营业成本预算表（消防服务项目)'!C33</f>
        <v>1853</v>
      </c>
      <c r="D33" s="11">
        <f>'13-2)营业成本预算表（三江居环境卫生)'!D33+'13-2)营业成本预算表（公车服务项目)'!D33+'13-2)营业成本预算表（农场后勤服务)'!D33+'13-2)营业成本预算表（综合培训基地)'!D33+'13-2)营业成本预算表（消防服务项目)'!D33</f>
        <v>700</v>
      </c>
      <c r="E33" s="11">
        <f aca="true" t="shared" si="17" ref="E33:E42">C33+D33</f>
        <v>2553</v>
      </c>
      <c r="F33" s="40">
        <f t="shared" si="0"/>
        <v>1.0212</v>
      </c>
      <c r="G33" s="11">
        <f aca="true" t="shared" si="18" ref="G33:G42">SUM(H33:K33)</f>
        <v>500</v>
      </c>
      <c r="H33" s="11">
        <f>'13-2)营业成本预算表（三江居环境卫生)'!H33+'13-2)营业成本预算表（农场后勤服务)'!H33+'13-2)营业成本预算表（综合培训基地)'!H33+'13-2)营业成本预算表（消防服务项目)'!H33</f>
        <v>125</v>
      </c>
      <c r="I33" s="11">
        <f>'13-2)营业成本预算表（三江居环境卫生)'!I33+'13-2)营业成本预算表（农场后勤服务)'!I33+'13-2)营业成本预算表（综合培训基地)'!I33+'13-2)营业成本预算表（消防服务项目)'!I33</f>
        <v>125</v>
      </c>
      <c r="J33" s="11">
        <f>'13-2)营业成本预算表（三江居环境卫生)'!J33+'13-2)营业成本预算表（农场后勤服务)'!J33+'13-2)营业成本预算表（综合培训基地)'!J33+'13-2)营业成本预算表（消防服务项目)'!J33</f>
        <v>125</v>
      </c>
      <c r="K33" s="11">
        <f>'13-2)营业成本预算表（三江居环境卫生)'!K33+'13-2)营业成本预算表（农场后勤服务)'!K33+'13-2)营业成本预算表（综合培训基地)'!K33+'13-2)营业成本预算表（消防服务项目)'!K33</f>
        <v>125</v>
      </c>
      <c r="L33" s="41">
        <f t="shared" si="1"/>
        <v>0.19584802193497847</v>
      </c>
      <c r="M33" s="5"/>
    </row>
    <row r="34" spans="1:13" ht="18" customHeight="1">
      <c r="A34" s="25" t="s">
        <v>661</v>
      </c>
      <c r="B34" s="11">
        <f>'13-2)营业成本预算表（三江居环境卫生)'!B34+'13-2)营业成本预算表（公车服务项目)'!B34+'13-2)营业成本预算表（农场后勤服务)'!B34+'13-2)营业成本预算表（综合培训基地)'!B34+'13-2)营业成本预算表（消防服务项目)'!B34</f>
        <v>2000</v>
      </c>
      <c r="C34" s="11">
        <f>'13-2)营业成本预算表（三江居环境卫生)'!C34+'13-2)营业成本预算表（公车服务项目)'!C34+'13-2)营业成本预算表（农场后勤服务)'!C34+'13-2)营业成本预算表（综合培训基地)'!C34+'13-2)营业成本预算表（消防服务项目)'!C34</f>
        <v>56</v>
      </c>
      <c r="D34" s="11">
        <f>'13-2)营业成本预算表（三江居环境卫生)'!D34+'13-2)营业成本预算表（公车服务项目)'!D34+'13-2)营业成本预算表（农场后勤服务)'!D34+'13-2)营业成本预算表（综合培训基地)'!D34+'13-2)营业成本预算表（消防服务项目)'!D34</f>
        <v>0</v>
      </c>
      <c r="E34" s="11">
        <f t="shared" si="17"/>
        <v>56</v>
      </c>
      <c r="F34" s="40">
        <f t="shared" si="0"/>
        <v>0.028</v>
      </c>
      <c r="G34" s="11">
        <f t="shared" si="18"/>
        <v>560</v>
      </c>
      <c r="H34" s="11">
        <f>'13-2)营业成本预算表（三江居环境卫生)'!H34+'13-2)营业成本预算表（农场后勤服务)'!H34+'13-2)营业成本预算表（综合培训基地)'!H34+'13-2)营业成本预算表（消防服务项目)'!H34</f>
        <v>140</v>
      </c>
      <c r="I34" s="11">
        <f>'13-2)营业成本预算表（三江居环境卫生)'!I34+'13-2)营业成本预算表（农场后勤服务)'!I34+'13-2)营业成本预算表（综合培训基地)'!I34+'13-2)营业成本预算表（消防服务项目)'!I34</f>
        <v>140</v>
      </c>
      <c r="J34" s="11">
        <f>'13-2)营业成本预算表（三江居环境卫生)'!J34+'13-2)营业成本预算表（农场后勤服务)'!J34+'13-2)营业成本预算表（综合培训基地)'!J34+'13-2)营业成本预算表（消防服务项目)'!J34</f>
        <v>140</v>
      </c>
      <c r="K34" s="11">
        <f>'13-2)营业成本预算表（三江居环境卫生)'!K34+'13-2)营业成本预算表（农场后勤服务)'!K34+'13-2)营业成本预算表（综合培训基地)'!K34+'13-2)营业成本预算表（消防服务项目)'!K34</f>
        <v>140</v>
      </c>
      <c r="L34" s="41">
        <f t="shared" si="1"/>
        <v>10</v>
      </c>
      <c r="M34" s="5"/>
    </row>
    <row r="35" spans="1:13" ht="18" customHeight="1">
      <c r="A35" s="25" t="s">
        <v>662</v>
      </c>
      <c r="B35" s="11">
        <f>'13-2)营业成本预算表（三江居环境卫生)'!B35+'13-2)营业成本预算表（公车服务项目)'!B35+'13-2)营业成本预算表（农场后勤服务)'!B35+'13-2)营业成本预算表（综合培训基地)'!B35+'13-2)营业成本预算表（消防服务项目)'!B35</f>
        <v>0</v>
      </c>
      <c r="C35" s="11">
        <f>'13-2)营业成本预算表（三江居环境卫生)'!C35+'13-2)营业成本预算表（公车服务项目)'!C35+'13-2)营业成本预算表（农场后勤服务)'!C35+'13-2)营业成本预算表（综合培训基地)'!C35+'13-2)营业成本预算表（消防服务项目)'!C35</f>
        <v>0</v>
      </c>
      <c r="D35" s="11">
        <f>'13-2)营业成本预算表（三江居环境卫生)'!D35+'13-2)营业成本预算表（公车服务项目)'!D35+'13-2)营业成本预算表（农场后勤服务)'!D35+'13-2)营业成本预算表（综合培训基地)'!D35+'13-2)营业成本预算表（消防服务项目)'!D35</f>
        <v>0</v>
      </c>
      <c r="E35" s="11">
        <f t="shared" si="17"/>
        <v>0</v>
      </c>
      <c r="F35" s="40" t="e">
        <f t="shared" si="0"/>
        <v>#DIV/0!</v>
      </c>
      <c r="G35" s="11">
        <f t="shared" si="18"/>
        <v>11000</v>
      </c>
      <c r="H35" s="11">
        <f>'13-2)营业成本预算表（三江居环境卫生)'!H35+'13-2)营业成本预算表（农场后勤服务)'!H35+'13-2)营业成本预算表（综合培训基地)'!H35+'13-2)营业成本预算表（消防服务项目)'!H35</f>
        <v>2750</v>
      </c>
      <c r="I35" s="11">
        <f>'13-2)营业成本预算表（三江居环境卫生)'!I35+'13-2)营业成本预算表（农场后勤服务)'!I35+'13-2)营业成本预算表（综合培训基地)'!I35+'13-2)营业成本预算表（消防服务项目)'!I35</f>
        <v>2750</v>
      </c>
      <c r="J35" s="11">
        <f>'13-2)营业成本预算表（三江居环境卫生)'!J35+'13-2)营业成本预算表（农场后勤服务)'!J35+'13-2)营业成本预算表（综合培训基地)'!J35+'13-2)营业成本预算表（消防服务项目)'!J35</f>
        <v>2750</v>
      </c>
      <c r="K35" s="11">
        <f>'13-2)营业成本预算表（三江居环境卫生)'!K35+'13-2)营业成本预算表（农场后勤服务)'!K35+'13-2)营业成本预算表（综合培训基地)'!K35+'13-2)营业成本预算表（消防服务项目)'!K35</f>
        <v>2750</v>
      </c>
      <c r="L35" s="41" t="e">
        <f t="shared" si="1"/>
        <v>#DIV/0!</v>
      </c>
      <c r="M35" s="5"/>
    </row>
    <row r="36" spans="1:13" ht="18" customHeight="1">
      <c r="A36" s="25" t="s">
        <v>663</v>
      </c>
      <c r="B36" s="11">
        <f>'13-2)营业成本预算表（三江居环境卫生)'!B36+'13-2)营业成本预算表（公车服务项目)'!B36+'13-2)营业成本预算表（农场后勤服务)'!B36+'13-2)营业成本预算表（综合培训基地)'!B36+'13-2)营业成本预算表（消防服务项目)'!B36</f>
        <v>0</v>
      </c>
      <c r="C36" s="11">
        <f>'13-2)营业成本预算表（三江居环境卫生)'!C36+'13-2)营业成本预算表（公车服务项目)'!C36+'13-2)营业成本预算表（农场后勤服务)'!C36+'13-2)营业成本预算表（综合培训基地)'!C36+'13-2)营业成本预算表（消防服务项目)'!C36</f>
        <v>0</v>
      </c>
      <c r="D36" s="11">
        <f>'13-2)营业成本预算表（三江居环境卫生)'!D36+'13-2)营业成本预算表（公车服务项目)'!D36+'13-2)营业成本预算表（农场后勤服务)'!D36+'13-2)营业成本预算表（综合培训基地)'!D36+'13-2)营业成本预算表（消防服务项目)'!D36</f>
        <v>0</v>
      </c>
      <c r="E36" s="11">
        <f t="shared" si="17"/>
        <v>0</v>
      </c>
      <c r="F36" s="40" t="e">
        <f t="shared" si="0"/>
        <v>#DIV/0!</v>
      </c>
      <c r="G36" s="11">
        <f t="shared" si="18"/>
        <v>5400</v>
      </c>
      <c r="H36" s="11">
        <f>'13-2)营业成本预算表（三江居环境卫生)'!H36+'13-2)营业成本预算表（农场后勤服务)'!H36+'13-2)营业成本预算表（综合培训基地)'!H36+'13-2)营业成本预算表（消防服务项目)'!H36</f>
        <v>1350</v>
      </c>
      <c r="I36" s="11">
        <f>'13-2)营业成本预算表（三江居环境卫生)'!I36+'13-2)营业成本预算表（农场后勤服务)'!I36+'13-2)营业成本预算表（综合培训基地)'!I36+'13-2)营业成本预算表（消防服务项目)'!I36</f>
        <v>1350</v>
      </c>
      <c r="J36" s="11">
        <f>'13-2)营业成本预算表（三江居环境卫生)'!J36+'13-2)营业成本预算表（农场后勤服务)'!J36+'13-2)营业成本预算表（综合培训基地)'!J36+'13-2)营业成本预算表（消防服务项目)'!J36</f>
        <v>1350</v>
      </c>
      <c r="K36" s="11">
        <f>'13-2)营业成本预算表（三江居环境卫生)'!K36+'13-2)营业成本预算表（农场后勤服务)'!K36+'13-2)营业成本预算表（综合培训基地)'!K36+'13-2)营业成本预算表（消防服务项目)'!K36</f>
        <v>1350</v>
      </c>
      <c r="L36" s="41" t="e">
        <f t="shared" si="1"/>
        <v>#DIV/0!</v>
      </c>
      <c r="M36" s="5"/>
    </row>
    <row r="37" spans="1:13" ht="18" customHeight="1">
      <c r="A37" s="25" t="s">
        <v>664</v>
      </c>
      <c r="B37" s="11">
        <f>'13-2)营业成本预算表（三江居环境卫生)'!B37+'13-2)营业成本预算表（公车服务项目)'!B37+'13-2)营业成本预算表（农场后勤服务)'!B37+'13-2)营业成本预算表（综合培训基地)'!B37+'13-2)营业成本预算表（消防服务项目)'!B37</f>
        <v>0</v>
      </c>
      <c r="C37" s="11">
        <f>'13-2)营业成本预算表（三江居环境卫生)'!C37+'13-2)营业成本预算表（公车服务项目)'!C37+'13-2)营业成本预算表（农场后勤服务)'!C37+'13-2)营业成本预算表（综合培训基地)'!C37+'13-2)营业成本预算表（消防服务项目)'!C37</f>
        <v>357.52</v>
      </c>
      <c r="D37" s="11">
        <f>'13-2)营业成本预算表（三江居环境卫生)'!D37+'13-2)营业成本预算表（公车服务项目)'!D37+'13-2)营业成本预算表（农场后勤服务)'!D37+'13-2)营业成本预算表（综合培训基地)'!D37+'13-2)营业成本预算表（消防服务项目)'!D37</f>
        <v>0</v>
      </c>
      <c r="E37" s="11">
        <f t="shared" si="17"/>
        <v>357.52</v>
      </c>
      <c r="F37" s="40" t="e">
        <f t="shared" si="0"/>
        <v>#DIV/0!</v>
      </c>
      <c r="G37" s="11">
        <f t="shared" si="18"/>
        <v>0</v>
      </c>
      <c r="H37" s="11">
        <f>'13-2)营业成本预算表（三江居环境卫生)'!H37+'13-2)营业成本预算表（农场后勤服务)'!H37+'13-2)营业成本预算表（综合培训基地)'!H37+'13-2)营业成本预算表（消防服务项目)'!H37</f>
        <v>0</v>
      </c>
      <c r="I37" s="11">
        <f>'13-2)营业成本预算表（三江居环境卫生)'!I37+'13-2)营业成本预算表（农场后勤服务)'!I37+'13-2)营业成本预算表（综合培训基地)'!I37+'13-2)营业成本预算表（消防服务项目)'!I37</f>
        <v>0</v>
      </c>
      <c r="J37" s="11">
        <f>'13-2)营业成本预算表（三江居环境卫生)'!J37+'13-2)营业成本预算表（农场后勤服务)'!J37+'13-2)营业成本预算表（综合培训基地)'!J37+'13-2)营业成本预算表（消防服务项目)'!J37</f>
        <v>0</v>
      </c>
      <c r="K37" s="11">
        <f>'13-2)营业成本预算表（三江居环境卫生)'!K37+'13-2)营业成本预算表（农场后勤服务)'!K37+'13-2)营业成本预算表（综合培训基地)'!K37+'13-2)营业成本预算表（消防服务项目)'!K37</f>
        <v>0</v>
      </c>
      <c r="L37" s="41">
        <f t="shared" si="1"/>
        <v>0</v>
      </c>
      <c r="M37" s="5"/>
    </row>
    <row r="38" spans="1:13" ht="18" customHeight="1">
      <c r="A38" s="25" t="s">
        <v>665</v>
      </c>
      <c r="B38" s="11">
        <f>'13-2)营业成本预算表（三江居环境卫生)'!B38+'13-2)营业成本预算表（公车服务项目)'!B38+'13-2)营业成本预算表（农场后勤服务)'!B38+'13-2)营业成本预算表（综合培训基地)'!B38+'13-2)营业成本预算表（消防服务项目)'!B38</f>
        <v>2800</v>
      </c>
      <c r="C38" s="11">
        <f>'13-2)营业成本预算表（三江居环境卫生)'!C38+'13-2)营业成本预算表（公车服务项目)'!C38+'13-2)营业成本预算表（农场后勤服务)'!C38+'13-2)营业成本预算表（综合培训基地)'!C38+'13-2)营业成本预算表（消防服务项目)'!C38</f>
        <v>0</v>
      </c>
      <c r="D38" s="11">
        <f>'13-2)营业成本预算表（三江居环境卫生)'!D38+'13-2)营业成本预算表（公车服务项目)'!D38+'13-2)营业成本预算表（农场后勤服务)'!D38+'13-2)营业成本预算表（综合培训基地)'!D38+'13-2)营业成本预算表（消防服务项目)'!D38</f>
        <v>0</v>
      </c>
      <c r="E38" s="11">
        <f t="shared" si="17"/>
        <v>0</v>
      </c>
      <c r="F38" s="40">
        <f t="shared" si="0"/>
        <v>0</v>
      </c>
      <c r="G38" s="11">
        <f t="shared" si="18"/>
        <v>0</v>
      </c>
      <c r="H38" s="11">
        <f>'13-2)营业成本预算表（三江居环境卫生)'!H38+'13-2)营业成本预算表（农场后勤服务)'!H38+'13-2)营业成本预算表（综合培训基地)'!H38+'13-2)营业成本预算表（消防服务项目)'!H38</f>
        <v>0</v>
      </c>
      <c r="I38" s="11">
        <f>'13-2)营业成本预算表（三江居环境卫生)'!I38+'13-2)营业成本预算表（农场后勤服务)'!I38+'13-2)营业成本预算表（综合培训基地)'!I38+'13-2)营业成本预算表（消防服务项目)'!I38</f>
        <v>0</v>
      </c>
      <c r="J38" s="11">
        <f>'13-2)营业成本预算表（三江居环境卫生)'!J38+'13-2)营业成本预算表（农场后勤服务)'!J38+'13-2)营业成本预算表（综合培训基地)'!J38+'13-2)营业成本预算表（消防服务项目)'!J38</f>
        <v>0</v>
      </c>
      <c r="K38" s="11">
        <f>'13-2)营业成本预算表（三江居环境卫生)'!K38+'13-2)营业成本预算表（农场后勤服务)'!K38+'13-2)营业成本预算表（综合培训基地)'!K38+'13-2)营业成本预算表（消防服务项目)'!K38</f>
        <v>0</v>
      </c>
      <c r="L38" s="41" t="e">
        <f t="shared" si="1"/>
        <v>#DIV/0!</v>
      </c>
      <c r="M38" s="5"/>
    </row>
    <row r="39" spans="1:13" ht="18" customHeight="1">
      <c r="A39" s="25" t="s">
        <v>666</v>
      </c>
      <c r="B39" s="11">
        <f>'13-2)营业成本预算表（三江居环境卫生)'!B39+'13-2)营业成本预算表（公车服务项目)'!B39+'13-2)营业成本预算表（农场后勤服务)'!B39+'13-2)营业成本预算表（综合培训基地)'!B39+'13-2)营业成本预算表（消防服务项目)'!B39</f>
        <v>0</v>
      </c>
      <c r="C39" s="11">
        <f>'13-2)营业成本预算表（三江居环境卫生)'!C39+'13-2)营业成本预算表（公车服务项目)'!C39+'13-2)营业成本预算表（农场后勤服务)'!C39+'13-2)营业成本预算表（综合培训基地)'!C39+'13-2)营业成本预算表（消防服务项目)'!C39</f>
        <v>170</v>
      </c>
      <c r="D39" s="11">
        <f>'13-2)营业成本预算表（三江居环境卫生)'!D39+'13-2)营业成本预算表（公车服务项目)'!D39+'13-2)营业成本预算表（农场后勤服务)'!D39+'13-2)营业成本预算表（综合培训基地)'!D39+'13-2)营业成本预算表（消防服务项目)'!D39</f>
        <v>0</v>
      </c>
      <c r="E39" s="11">
        <f t="shared" si="17"/>
        <v>170</v>
      </c>
      <c r="F39" s="40" t="e">
        <f t="shared" si="0"/>
        <v>#DIV/0!</v>
      </c>
      <c r="G39" s="11">
        <f t="shared" si="18"/>
        <v>2000</v>
      </c>
      <c r="H39" s="11">
        <f>'13-2)营业成本预算表（三江居环境卫生)'!H39+'13-2)营业成本预算表（农场后勤服务)'!H39+'13-2)营业成本预算表（综合培训基地)'!H39+'13-2)营业成本预算表（消防服务项目)'!H39</f>
        <v>500</v>
      </c>
      <c r="I39" s="11">
        <f>'13-2)营业成本预算表（三江居环境卫生)'!I39+'13-2)营业成本预算表（农场后勤服务)'!I39+'13-2)营业成本预算表（综合培训基地)'!I39+'13-2)营业成本预算表（消防服务项目)'!I39</f>
        <v>500</v>
      </c>
      <c r="J39" s="11">
        <f>'13-2)营业成本预算表（三江居环境卫生)'!J39+'13-2)营业成本预算表（农场后勤服务)'!J39+'13-2)营业成本预算表（综合培训基地)'!J39+'13-2)营业成本预算表（消防服务项目)'!J39</f>
        <v>500</v>
      </c>
      <c r="K39" s="11">
        <f>'13-2)营业成本预算表（三江居环境卫生)'!K39+'13-2)营业成本预算表（农场后勤服务)'!K39+'13-2)营业成本预算表（综合培训基地)'!K39+'13-2)营业成本预算表（消防服务项目)'!K39</f>
        <v>500</v>
      </c>
      <c r="L39" s="41">
        <f t="shared" si="1"/>
        <v>11.764705882352942</v>
      </c>
      <c r="M39" s="5"/>
    </row>
    <row r="40" spans="1:13" ht="18" customHeight="1">
      <c r="A40" s="25" t="s">
        <v>695</v>
      </c>
      <c r="B40" s="11">
        <f>'13-2)营业成本预算表（三江居环境卫生)'!B40+'13-2)营业成本预算表（公车服务项目)'!B40+'13-2)营业成本预算表（农场后勤服务)'!B40+'13-2)营业成本预算表（综合培训基地)'!B40+'13-2)营业成本预算表（消防服务项目)'!B40</f>
        <v>4000</v>
      </c>
      <c r="C40" s="11">
        <f>'13-2)营业成本预算表（三江居环境卫生)'!C40+'13-2)营业成本预算表（公车服务项目)'!C40+'13-2)营业成本预算表（农场后勤服务)'!C40+'13-2)营业成本预算表（综合培训基地)'!C40+'13-2)营业成本预算表（消防服务项目)'!C40</f>
        <v>36175.4</v>
      </c>
      <c r="D40" s="11">
        <f>'13-2)营业成本预算表（三江居环境卫生)'!D40+'13-2)营业成本预算表（公车服务项目)'!D40+'13-2)营业成本预算表（农场后勤服务)'!D40+'13-2)营业成本预算表（综合培训基地)'!D40+'13-2)营业成本预算表（消防服务项目)'!D40</f>
        <v>0</v>
      </c>
      <c r="E40" s="11">
        <f t="shared" si="17"/>
        <v>36175.4</v>
      </c>
      <c r="F40" s="40">
        <f t="shared" si="0"/>
        <v>9.04385</v>
      </c>
      <c r="G40" s="11">
        <f t="shared" si="18"/>
        <v>39830</v>
      </c>
      <c r="H40" s="11">
        <f>'13-2)营业成本预算表（三江居环境卫生)'!H40+'13-2)营业成本预算表（农场后勤服务)'!H40+'13-2)营业成本预算表（综合培训基地)'!H40+'13-2)营业成本预算表（消防服务项目)'!H40</f>
        <v>10557.5</v>
      </c>
      <c r="I40" s="11">
        <f>'13-2)营业成本预算表（三江居环境卫生)'!I40+'13-2)营业成本预算表（农场后勤服务)'!I40+'13-2)营业成本预算表（综合培训基地)'!I40+'13-2)营业成本预算表（消防服务项目)'!I40</f>
        <v>9757.5</v>
      </c>
      <c r="J40" s="11">
        <f>'13-2)营业成本预算表（三江居环境卫生)'!J40+'13-2)营业成本预算表（农场后勤服务)'!J40+'13-2)营业成本预算表（综合培训基地)'!J40+'13-2)营业成本预算表（消防服务项目)'!J40</f>
        <v>9757.5</v>
      </c>
      <c r="K40" s="11">
        <f>'13-2)营业成本预算表（三江居环境卫生)'!K40+'13-2)营业成本预算表（农场后勤服务)'!K40+'13-2)营业成本预算表（综合培训基地)'!K40+'13-2)营业成本预算表（消防服务项目)'!K40</f>
        <v>9757.5</v>
      </c>
      <c r="L40" s="41">
        <f t="shared" si="1"/>
        <v>1.1010244530813758</v>
      </c>
      <c r="M40" s="5"/>
    </row>
    <row r="41" spans="1:13" ht="18" customHeight="1">
      <c r="A41" s="25" t="s">
        <v>668</v>
      </c>
      <c r="B41" s="11">
        <f>'13-2)营业成本预算表（三江居环境卫生)'!B41+'13-2)营业成本预算表（公车服务项目)'!B41+'13-2)营业成本预算表（农场后勤服务)'!B41+'13-2)营业成本预算表（综合培训基地)'!B41+'13-2)营业成本预算表（消防服务项目)'!B41</f>
        <v>0</v>
      </c>
      <c r="C41" s="11">
        <f>'13-2)营业成本预算表（三江居环境卫生)'!C41+'13-2)营业成本预算表（公车服务项目)'!C41+'13-2)营业成本预算表（农场后勤服务)'!C41+'13-2)营业成本预算表（综合培训基地)'!C41+'13-2)营业成本预算表（消防服务项目)'!C41</f>
        <v>0</v>
      </c>
      <c r="D41" s="11">
        <f>'13-2)营业成本预算表（三江居环境卫生)'!D41+'13-2)营业成本预算表（公车服务项目)'!D41+'13-2)营业成本预算表（农场后勤服务)'!D41+'13-2)营业成本预算表（综合培训基地)'!D41+'13-2)营业成本预算表（消防服务项目)'!D41</f>
        <v>0</v>
      </c>
      <c r="E41" s="11">
        <f t="shared" si="17"/>
        <v>0</v>
      </c>
      <c r="F41" s="40" t="e">
        <f t="shared" si="0"/>
        <v>#DIV/0!</v>
      </c>
      <c r="G41" s="11">
        <f t="shared" si="18"/>
        <v>0</v>
      </c>
      <c r="H41" s="11">
        <f>'13-2)营业成本预算表（三江居环境卫生)'!H41+'13-2)营业成本预算表（农场后勤服务)'!H41+'13-2)营业成本预算表（综合培训基地)'!H41+'13-2)营业成本预算表（消防服务项目)'!H41</f>
        <v>0</v>
      </c>
      <c r="I41" s="11">
        <f>'13-2)营业成本预算表（三江居环境卫生)'!I41+'13-2)营业成本预算表（农场后勤服务)'!I41+'13-2)营业成本预算表（综合培训基地)'!I41+'13-2)营业成本预算表（消防服务项目)'!I41</f>
        <v>0</v>
      </c>
      <c r="J41" s="11">
        <f>'13-2)营业成本预算表（三江居环境卫生)'!J41+'13-2)营业成本预算表（农场后勤服务)'!J41+'13-2)营业成本预算表（综合培训基地)'!J41+'13-2)营业成本预算表（消防服务项目)'!J41</f>
        <v>0</v>
      </c>
      <c r="K41" s="11">
        <f>'13-2)营业成本预算表（三江居环境卫生)'!K41+'13-2)营业成本预算表（农场后勤服务)'!K41+'13-2)营业成本预算表（综合培训基地)'!K41+'13-2)营业成本预算表（消防服务项目)'!K41</f>
        <v>0</v>
      </c>
      <c r="L41" s="41" t="e">
        <f t="shared" si="1"/>
        <v>#DIV/0!</v>
      </c>
      <c r="M41" s="5"/>
    </row>
    <row r="42" spans="1:13" ht="18" customHeight="1">
      <c r="A42" s="25" t="s">
        <v>696</v>
      </c>
      <c r="B42" s="11">
        <f>'13-2)营业成本预算表（三江居环境卫生)'!B42+'13-2)营业成本预算表（公车服务项目)'!B42+'13-2)营业成本预算表（农场后勤服务)'!B42+'13-2)营业成本预算表（综合培训基地)'!B42+'13-2)营业成本预算表（消防服务项目)'!B42</f>
        <v>14500</v>
      </c>
      <c r="C42" s="11">
        <f>'13-2)营业成本预算表（三江居环境卫生)'!C42+'13-2)营业成本预算表（公车服务项目)'!C42+'13-2)营业成本预算表（农场后勤服务)'!C42+'13-2)营业成本预算表（综合培训基地)'!C42+'13-2)营业成本预算表（消防服务项目)'!C42</f>
        <v>35893.51</v>
      </c>
      <c r="D42" s="11">
        <f>'13-2)营业成本预算表（三江居环境卫生)'!D42+'13-2)营业成本预算表（公车服务项目)'!D42+'13-2)营业成本预算表（农场后勤服务)'!D42+'13-2)营业成本预算表（综合培训基地)'!D42+'13-2)营业成本预算表（消防服务项目)'!D42</f>
        <v>1700</v>
      </c>
      <c r="E42" s="11">
        <f t="shared" si="17"/>
        <v>37593.51</v>
      </c>
      <c r="F42" s="40">
        <f t="shared" si="0"/>
        <v>2.5926558620689657</v>
      </c>
      <c r="G42" s="11">
        <f t="shared" si="18"/>
        <v>0</v>
      </c>
      <c r="H42" s="11">
        <f>'13-2)营业成本预算表（三江居环境卫生)'!H42+'13-2)营业成本预算表（农场后勤服务)'!H42+'13-2)营业成本预算表（综合培训基地)'!H42+'13-2)营业成本预算表（消防服务项目)'!H42</f>
        <v>0</v>
      </c>
      <c r="I42" s="11">
        <f>'13-2)营业成本预算表（三江居环境卫生)'!I42+'13-2)营业成本预算表（农场后勤服务)'!I42+'13-2)营业成本预算表（综合培训基地)'!I42+'13-2)营业成本预算表（消防服务项目)'!I42</f>
        <v>0</v>
      </c>
      <c r="J42" s="11">
        <f>'13-2)营业成本预算表（三江居环境卫生)'!J42+'13-2)营业成本预算表（农场后勤服务)'!J42+'13-2)营业成本预算表（综合培训基地)'!J42+'13-2)营业成本预算表（消防服务项目)'!J42</f>
        <v>0</v>
      </c>
      <c r="K42" s="11">
        <f>'13-2)营业成本预算表（三江居环境卫生)'!K42+'13-2)营业成本预算表（农场后勤服务)'!K42+'13-2)营业成本预算表（综合培训基地)'!K42+'13-2)营业成本预算表（消防服务项目)'!K42</f>
        <v>0</v>
      </c>
      <c r="L42" s="41">
        <f t="shared" si="1"/>
        <v>0</v>
      </c>
      <c r="M42" s="5"/>
    </row>
    <row r="43" spans="1:13" ht="18" customHeight="1">
      <c r="A43" s="25" t="s">
        <v>670</v>
      </c>
      <c r="B43" s="11">
        <f aca="true" t="shared" si="19" ref="B43:K43">SUM(B44:B46)</f>
        <v>554319.1599999999</v>
      </c>
      <c r="C43" s="11">
        <f t="shared" si="19"/>
        <v>390363.77</v>
      </c>
      <c r="D43" s="11">
        <f t="shared" si="19"/>
        <v>23700</v>
      </c>
      <c r="E43" s="11">
        <f t="shared" si="19"/>
        <v>414063.77</v>
      </c>
      <c r="F43" s="40">
        <f t="shared" si="0"/>
        <v>0.7469771927060939</v>
      </c>
      <c r="G43" s="11">
        <f t="shared" si="19"/>
        <v>419592.5124537815</v>
      </c>
      <c r="H43" s="11">
        <f t="shared" si="19"/>
        <v>63549.887453781506</v>
      </c>
      <c r="I43" s="11">
        <f t="shared" si="19"/>
        <v>156182.125</v>
      </c>
      <c r="J43" s="11">
        <f t="shared" si="19"/>
        <v>149035.25</v>
      </c>
      <c r="K43" s="11">
        <f t="shared" si="19"/>
        <v>50825.25</v>
      </c>
      <c r="L43" s="41">
        <f t="shared" si="1"/>
        <v>1.0133523936513003</v>
      </c>
      <c r="M43" s="5"/>
    </row>
    <row r="44" spans="1:13" ht="18" customHeight="1">
      <c r="A44" s="25" t="s">
        <v>671</v>
      </c>
      <c r="B44" s="11">
        <f>'13-2)营业成本预算表（三江居环境卫生)'!B44+'13-2)营业成本预算表（公车服务项目)'!B44+'13-2)营业成本预算表（农场后勤服务)'!B44+'13-2)营业成本预算表（综合培训基地)'!B44+'13-2)营业成本预算表（消防服务项目)'!B44</f>
        <v>280282.16</v>
      </c>
      <c r="C44" s="11">
        <f>'13-2)营业成本预算表（三江居环境卫生)'!C44+'13-2)营业成本预算表（公车服务项目)'!C44+'13-2)营业成本预算表（农场后勤服务)'!C44+'13-2)营业成本预算表（综合培训基地)'!C44+'13-2)营业成本预算表（消防服务项目)'!C44</f>
        <v>218905.37</v>
      </c>
      <c r="D44" s="11">
        <f>'13-2)营业成本预算表（三江居环境卫生)'!D44+'13-2)营业成本预算表（公车服务项目)'!D44+'13-2)营业成本预算表（农场后勤服务)'!D44+'13-2)营业成本预算表（综合培训基地)'!D44+'13-2)营业成本预算表（消防服务项目)'!D44</f>
        <v>23700</v>
      </c>
      <c r="E44" s="11">
        <f aca="true" t="shared" si="20" ref="E44:E46">C44+D44</f>
        <v>242605.37</v>
      </c>
      <c r="F44" s="40">
        <f t="shared" si="0"/>
        <v>0.8655754972061013</v>
      </c>
      <c r="G44" s="11">
        <f aca="true" t="shared" si="21" ref="G44:G46">SUM(H44:K44)</f>
        <v>205872.5124537815</v>
      </c>
      <c r="H44" s="11">
        <f>'13-2)营业成本预算表（三江居环境卫生)'!H44+'13-2)营业成本预算表（农场后勤服务)'!H44+'13-2)营业成本预算表（综合培训基地)'!H44+'13-2)营业成本预算表（消防服务项目)'!H44</f>
        <v>62299.887453781506</v>
      </c>
      <c r="I44" s="11">
        <f>'13-2)营业成本预算表（三江居环境卫生)'!I44+'13-2)营业成本预算表（农场后勤服务)'!I44+'13-2)营业成本预算表（综合培训基地)'!I44+'13-2)营业成本预算表（消防服务项目)'!I44</f>
        <v>44422.125</v>
      </c>
      <c r="J44" s="11">
        <f>'13-2)营业成本预算表（三江居环境卫生)'!J44+'13-2)营业成本预算表（农场后勤服务)'!J44+'13-2)营业成本预算表（综合培训基地)'!J44+'13-2)营业成本预算表（消防服务项目)'!J44</f>
        <v>49575.25</v>
      </c>
      <c r="K44" s="11">
        <f>'13-2)营业成本预算表（三江居环境卫生)'!K44+'13-2)营业成本预算表（农场后勤服务)'!K44+'13-2)营业成本预算表（综合培训基地)'!K44+'13-2)营业成本预算表（消防服务项目)'!K44</f>
        <v>49575.25</v>
      </c>
      <c r="L44" s="41">
        <f t="shared" si="1"/>
        <v>0.8485900887263192</v>
      </c>
      <c r="M44" s="5"/>
    </row>
    <row r="45" spans="1:13" ht="18" customHeight="1">
      <c r="A45" s="25" t="s">
        <v>672</v>
      </c>
      <c r="B45" s="11">
        <f>'13-2)营业成本预算表（三江居环境卫生)'!B45+'13-2)营业成本预算表（公车服务项目)'!B45+'13-2)营业成本预算表（农场后勤服务)'!B45+'13-2)营业成本预算表（综合培训基地)'!B45+'13-2)营业成本预算表（消防服务项目)'!B45</f>
        <v>274037</v>
      </c>
      <c r="C45" s="11">
        <f>'13-2)营业成本预算表（三江居环境卫生)'!C45+'13-2)营业成本预算表（公车服务项目)'!C45+'13-2)营业成本预算表（农场后勤服务)'!C45+'13-2)营业成本预算表（综合培训基地)'!C45+'13-2)营业成本预算表（消防服务项目)'!C45</f>
        <v>171458.4</v>
      </c>
      <c r="D45" s="11">
        <f>'13-2)营业成本预算表（三江居环境卫生)'!D45+'13-2)营业成本预算表（公车服务项目)'!D45+'13-2)营业成本预算表（农场后勤服务)'!D45+'13-2)营业成本预算表（综合培训基地)'!D45+'13-2)营业成本预算表（消防服务项目)'!D45</f>
        <v>0</v>
      </c>
      <c r="E45" s="11">
        <f t="shared" si="20"/>
        <v>171458.4</v>
      </c>
      <c r="F45" s="40">
        <f t="shared" si="0"/>
        <v>0.6256760948339093</v>
      </c>
      <c r="G45" s="11">
        <f t="shared" si="21"/>
        <v>213720</v>
      </c>
      <c r="H45" s="11">
        <f>'13-2)营业成本预算表（三江居环境卫生)'!H45+'13-2)营业成本预算表（农场后勤服务)'!H45+'13-2)营业成本预算表（综合培训基地)'!H45+'13-2)营业成本预算表（消防服务项目)'!H45</f>
        <v>1250</v>
      </c>
      <c r="I45" s="11">
        <f>'13-2)营业成本预算表（三江居环境卫生)'!I45+'13-2)营业成本预算表（农场后勤服务)'!I45+'13-2)营业成本预算表（综合培训基地)'!I45+'13-2)营业成本预算表（消防服务项目)'!I45</f>
        <v>111760</v>
      </c>
      <c r="J45" s="11">
        <f>'13-2)营业成本预算表（三江居环境卫生)'!J45+'13-2)营业成本预算表（农场后勤服务)'!J45+'13-2)营业成本预算表（综合培训基地)'!J45+'13-2)营业成本预算表（消防服务项目)'!J45</f>
        <v>99460</v>
      </c>
      <c r="K45" s="11">
        <f>'13-2)营业成本预算表（三江居环境卫生)'!K45+'13-2)营业成本预算表（农场后勤服务)'!K45+'13-2)营业成本预算表（综合培训基地)'!K45+'13-2)营业成本预算表（消防服务项目)'!K45</f>
        <v>1250</v>
      </c>
      <c r="L45" s="41">
        <f t="shared" si="1"/>
        <v>1.2464831119385227</v>
      </c>
      <c r="M45" s="5"/>
    </row>
    <row r="46" spans="1:13" ht="18" customHeight="1">
      <c r="A46" s="25" t="s">
        <v>673</v>
      </c>
      <c r="B46" s="11">
        <f>'13-2)营业成本预算表（三江居环境卫生)'!B46+'13-2)营业成本预算表（公车服务项目)'!B46+'13-2)营业成本预算表（农场后勤服务)'!B46+'13-2)营业成本预算表（综合培训基地)'!B46+'13-2)营业成本预算表（消防服务项目)'!B46</f>
        <v>0</v>
      </c>
      <c r="C46" s="11">
        <f>'13-2)营业成本预算表（三江居环境卫生)'!C46+'13-2)营业成本预算表（公车服务项目)'!C46+'13-2)营业成本预算表（农场后勤服务)'!C46+'13-2)营业成本预算表（综合培训基地)'!C46+'13-2)营业成本预算表（消防服务项目)'!C46</f>
        <v>0</v>
      </c>
      <c r="D46" s="11">
        <f>'13-2)营业成本预算表（三江居环境卫生)'!D46+'13-2)营业成本预算表（公车服务项目)'!D46+'13-2)营业成本预算表（农场后勤服务)'!D46+'13-2)营业成本预算表（综合培训基地)'!D46+'13-2)营业成本预算表（消防服务项目)'!D46</f>
        <v>0</v>
      </c>
      <c r="E46" s="11">
        <f t="shared" si="20"/>
        <v>0</v>
      </c>
      <c r="F46" s="40" t="e">
        <f t="shared" si="0"/>
        <v>#DIV/0!</v>
      </c>
      <c r="G46" s="11">
        <f t="shared" si="21"/>
        <v>0</v>
      </c>
      <c r="H46" s="11">
        <f>'13-2)营业成本预算表（三江居环境卫生)'!H46+'13-2)营业成本预算表（农场后勤服务)'!H46+'13-2)营业成本预算表（综合培训基地)'!H46+'13-2)营业成本预算表（消防服务项目)'!H46</f>
        <v>0</v>
      </c>
      <c r="I46" s="11">
        <f>'13-2)营业成本预算表（三江居环境卫生)'!I46+'13-2)营业成本预算表（农场后勤服务)'!I46+'13-2)营业成本预算表（综合培训基地)'!I46+'13-2)营业成本预算表（消防服务项目)'!I46</f>
        <v>0</v>
      </c>
      <c r="J46" s="11">
        <f>'13-2)营业成本预算表（三江居环境卫生)'!J46+'13-2)营业成本预算表（农场后勤服务)'!J46+'13-2)营业成本预算表（综合培训基地)'!J46+'13-2)营业成本预算表（消防服务项目)'!J46</f>
        <v>0</v>
      </c>
      <c r="K46" s="11">
        <f>'13-2)营业成本预算表（三江居环境卫生)'!K46+'13-2)营业成本预算表（农场后勤服务)'!K46+'13-2)营业成本预算表（综合培训基地)'!K46+'13-2)营业成本预算表（消防服务项目)'!K46</f>
        <v>0</v>
      </c>
      <c r="L46" s="41" t="e">
        <f t="shared" si="1"/>
        <v>#DIV/0!</v>
      </c>
      <c r="M46" s="5"/>
    </row>
    <row r="47" spans="1:13" ht="18" customHeight="1">
      <c r="A47" s="25"/>
      <c r="B47" s="11"/>
      <c r="C47" s="12"/>
      <c r="D47" s="12"/>
      <c r="E47" s="11"/>
      <c r="F47" s="40"/>
      <c r="G47" s="11"/>
      <c r="H47" s="12"/>
      <c r="I47" s="12"/>
      <c r="J47" s="12"/>
      <c r="K47" s="12"/>
      <c r="L47" s="41"/>
      <c r="M47" s="5"/>
    </row>
    <row r="48" spans="1:13" ht="18" customHeight="1">
      <c r="A48" s="25" t="s">
        <v>628</v>
      </c>
      <c r="B48" s="11"/>
      <c r="C48" s="12"/>
      <c r="D48" s="12"/>
      <c r="E48" s="11"/>
      <c r="F48" s="40"/>
      <c r="G48" s="11"/>
      <c r="H48" s="12"/>
      <c r="I48" s="12"/>
      <c r="J48" s="12"/>
      <c r="K48" s="12"/>
      <c r="L48" s="41"/>
      <c r="M48" s="5"/>
    </row>
    <row r="49" spans="1:13" ht="18" customHeight="1">
      <c r="A49" s="25"/>
      <c r="B49" s="11"/>
      <c r="C49" s="12"/>
      <c r="D49" s="12"/>
      <c r="E49" s="11"/>
      <c r="F49" s="40"/>
      <c r="G49" s="11"/>
      <c r="H49" s="12"/>
      <c r="I49" s="12"/>
      <c r="J49" s="12"/>
      <c r="K49" s="12"/>
      <c r="L49" s="41"/>
      <c r="M49" s="5"/>
    </row>
    <row r="50" spans="1:13" ht="18" customHeight="1">
      <c r="A50" s="5"/>
      <c r="B50" s="5"/>
      <c r="C50" s="16"/>
      <c r="D50" s="4" t="s">
        <v>629</v>
      </c>
      <c r="E50" s="5"/>
      <c r="F50" s="5"/>
      <c r="G50" s="5"/>
      <c r="H50" s="16"/>
      <c r="I50" s="17" t="s">
        <v>630</v>
      </c>
      <c r="J50" s="5"/>
      <c r="K50" s="5"/>
      <c r="L50" s="5"/>
      <c r="M50" s="5"/>
    </row>
  </sheetData>
  <sheetProtection/>
  <mergeCells count="6">
    <mergeCell ref="A1:M1"/>
    <mergeCell ref="B3:F3"/>
    <mergeCell ref="G3:K3"/>
    <mergeCell ref="A3:A4"/>
    <mergeCell ref="L3:L4"/>
    <mergeCell ref="M3:M4"/>
  </mergeCells>
  <printOptions/>
  <pageMargins left="1.18" right="0.19" top="0.55" bottom="0.39" header="0.28" footer="0.16"/>
  <pageSetup fitToHeight="1" fitToWidth="1" horizontalDpi="300" verticalDpi="300" orientation="landscape" paperSize="9" scale="76"/>
</worksheet>
</file>

<file path=xl/worksheets/sheet25.xml><?xml version="1.0" encoding="utf-8"?>
<worksheet xmlns="http://schemas.openxmlformats.org/spreadsheetml/2006/main" xmlns:r="http://schemas.openxmlformats.org/officeDocument/2006/relationships">
  <sheetPr>
    <pageSetUpPr fitToPage="1"/>
  </sheetPr>
  <dimension ref="A1:M50"/>
  <sheetViews>
    <sheetView workbookViewId="0" topLeftCell="A1">
      <selection activeCell="A50" sqref="A50:IV50"/>
    </sheetView>
  </sheetViews>
  <sheetFormatPr defaultColWidth="9.140625" defaultRowHeight="12.75"/>
  <cols>
    <col min="1" max="1" width="30.28125" style="0" customWidth="1"/>
    <col min="2" max="2" width="13.140625" style="0" customWidth="1"/>
    <col min="3" max="3" width="10.7109375" style="0" customWidth="1"/>
    <col min="4" max="4" width="11.7109375" style="0" customWidth="1"/>
    <col min="5" max="6" width="10.7109375" style="0" customWidth="1"/>
    <col min="7" max="11" width="13.7109375" style="0" customWidth="1"/>
    <col min="12" max="13" width="10.7109375" style="0" customWidth="1"/>
  </cols>
  <sheetData>
    <row r="1" spans="1:13" ht="25.5" customHeight="1">
      <c r="A1" s="105" t="s">
        <v>697</v>
      </c>
      <c r="B1" s="23"/>
      <c r="C1" s="23" t="s">
        <v>598</v>
      </c>
      <c r="D1" s="23" t="s">
        <v>598</v>
      </c>
      <c r="E1" s="23" t="s">
        <v>598</v>
      </c>
      <c r="F1" s="23"/>
      <c r="G1" s="23" t="s">
        <v>598</v>
      </c>
      <c r="H1" s="23" t="s">
        <v>598</v>
      </c>
      <c r="I1" s="23" t="s">
        <v>598</v>
      </c>
      <c r="J1" s="23" t="s">
        <v>598</v>
      </c>
      <c r="K1" s="23" t="s">
        <v>598</v>
      </c>
      <c r="L1" s="23" t="s">
        <v>598</v>
      </c>
      <c r="M1" s="23" t="s">
        <v>598</v>
      </c>
    </row>
    <row r="2" spans="1:13" ht="18" customHeight="1">
      <c r="A2" s="106" t="s">
        <v>364</v>
      </c>
      <c r="B2" s="107"/>
      <c r="C2" s="45"/>
      <c r="D2" s="46"/>
      <c r="E2" s="47"/>
      <c r="F2" s="55"/>
      <c r="G2" s="24" t="s">
        <v>288</v>
      </c>
      <c r="H2" s="5"/>
      <c r="I2" s="5"/>
      <c r="J2" s="5"/>
      <c r="K2" s="5"/>
      <c r="L2" s="16" t="s">
        <v>599</v>
      </c>
      <c r="M2" s="5"/>
    </row>
    <row r="3" spans="1:13" ht="18" customHeight="1">
      <c r="A3" s="18" t="s">
        <v>290</v>
      </c>
      <c r="B3" s="90" t="s">
        <v>366</v>
      </c>
      <c r="C3" s="38"/>
      <c r="D3" s="38"/>
      <c r="E3" s="38"/>
      <c r="F3" s="39"/>
      <c r="G3" s="9" t="s">
        <v>292</v>
      </c>
      <c r="H3" s="9" t="s">
        <v>292</v>
      </c>
      <c r="I3" s="9" t="s">
        <v>292</v>
      </c>
      <c r="J3" s="9" t="s">
        <v>292</v>
      </c>
      <c r="K3" s="9" t="s">
        <v>292</v>
      </c>
      <c r="L3" s="9" t="s">
        <v>293</v>
      </c>
      <c r="M3" s="18" t="s">
        <v>33</v>
      </c>
    </row>
    <row r="4" spans="1:13" ht="18" customHeight="1">
      <c r="A4" s="18" t="s">
        <v>290</v>
      </c>
      <c r="B4" s="9" t="s">
        <v>294</v>
      </c>
      <c r="C4" s="9" t="s">
        <v>463</v>
      </c>
      <c r="D4" s="9" t="s">
        <v>296</v>
      </c>
      <c r="E4" s="9" t="s">
        <v>464</v>
      </c>
      <c r="F4" s="9" t="s">
        <v>299</v>
      </c>
      <c r="G4" s="9" t="s">
        <v>314</v>
      </c>
      <c r="H4" s="9" t="s">
        <v>324</v>
      </c>
      <c r="I4" s="9" t="s">
        <v>331</v>
      </c>
      <c r="J4" s="9" t="s">
        <v>334</v>
      </c>
      <c r="K4" s="9" t="s">
        <v>336</v>
      </c>
      <c r="L4" s="9" t="s">
        <v>293</v>
      </c>
      <c r="M4" s="18" t="s">
        <v>33</v>
      </c>
    </row>
    <row r="5" spans="1:13" ht="18" customHeight="1">
      <c r="A5" s="25" t="s">
        <v>691</v>
      </c>
      <c r="B5" s="11">
        <f aca="true" t="shared" si="0" ref="B5:K5">B6+B32+B43</f>
        <v>4273613.24</v>
      </c>
      <c r="C5" s="11">
        <f t="shared" si="0"/>
        <v>3506806.1999999997</v>
      </c>
      <c r="D5" s="11">
        <f t="shared" si="0"/>
        <v>274162.62</v>
      </c>
      <c r="E5" s="11">
        <f t="shared" si="0"/>
        <v>3780968.82</v>
      </c>
      <c r="F5" s="40">
        <f aca="true" t="shared" si="1" ref="F5:F46">E5/B5</f>
        <v>0.8847241450421938</v>
      </c>
      <c r="G5" s="11">
        <f t="shared" si="0"/>
        <v>3985088.352453782</v>
      </c>
      <c r="H5" s="11">
        <f t="shared" si="0"/>
        <v>849048.1724537816</v>
      </c>
      <c r="I5" s="11">
        <f t="shared" si="0"/>
        <v>983230.4100000001</v>
      </c>
      <c r="J5" s="11">
        <f t="shared" si="0"/>
        <v>1137509.885</v>
      </c>
      <c r="K5" s="11">
        <f t="shared" si="0"/>
        <v>1015299.885</v>
      </c>
      <c r="L5" s="41">
        <f aca="true" t="shared" si="2" ref="L5:L46">G5/E5</f>
        <v>1.0539860396028822</v>
      </c>
      <c r="M5" s="5"/>
    </row>
    <row r="6" spans="1:13" ht="18" customHeight="1">
      <c r="A6" s="25" t="s">
        <v>633</v>
      </c>
      <c r="B6" s="11">
        <f aca="true" t="shared" si="3" ref="B6:K6">B7+B26+B27</f>
        <v>3713303.12</v>
      </c>
      <c r="C6" s="11">
        <f t="shared" si="3"/>
        <v>3095074.4299999997</v>
      </c>
      <c r="D6" s="11">
        <f t="shared" si="3"/>
        <v>249762.62</v>
      </c>
      <c r="E6" s="11">
        <f t="shared" si="3"/>
        <v>3344837.05</v>
      </c>
      <c r="F6" s="40">
        <f t="shared" si="1"/>
        <v>0.900771346132389</v>
      </c>
      <c r="G6" s="11">
        <f t="shared" si="3"/>
        <v>3536074.6800000006</v>
      </c>
      <c r="H6" s="11">
        <f t="shared" si="3"/>
        <v>778142.9950000001</v>
      </c>
      <c r="I6" s="11">
        <f t="shared" si="3"/>
        <v>819692.9950000001</v>
      </c>
      <c r="J6" s="11">
        <f t="shared" si="3"/>
        <v>981119.345</v>
      </c>
      <c r="K6" s="11">
        <f t="shared" si="3"/>
        <v>957119.345</v>
      </c>
      <c r="L6" s="41">
        <f t="shared" si="2"/>
        <v>1.05717397503714</v>
      </c>
      <c r="M6" s="5"/>
    </row>
    <row r="7" spans="1:13" ht="18" customHeight="1">
      <c r="A7" s="72" t="s">
        <v>634</v>
      </c>
      <c r="B7" s="11">
        <f aca="true" t="shared" si="4" ref="B7:K7">B8+B16+B20+B23+B24+B25</f>
        <v>3557678.12</v>
      </c>
      <c r="C7" s="11">
        <f t="shared" si="4"/>
        <v>2735163.51</v>
      </c>
      <c r="D7" s="11">
        <f t="shared" si="4"/>
        <v>201562.62</v>
      </c>
      <c r="E7" s="11">
        <f t="shared" si="4"/>
        <v>2936726.13</v>
      </c>
      <c r="F7" s="40">
        <f t="shared" si="1"/>
        <v>0.8254614473104722</v>
      </c>
      <c r="G7" s="11">
        <f t="shared" si="4"/>
        <v>2945294.6800000006</v>
      </c>
      <c r="H7" s="11">
        <f t="shared" si="4"/>
        <v>642102.9950000001</v>
      </c>
      <c r="I7" s="11">
        <f t="shared" si="4"/>
        <v>683652.9950000001</v>
      </c>
      <c r="J7" s="11">
        <f t="shared" si="4"/>
        <v>821769.345</v>
      </c>
      <c r="K7" s="11">
        <f t="shared" si="4"/>
        <v>797769.345</v>
      </c>
      <c r="L7" s="41">
        <f t="shared" si="2"/>
        <v>1.002917721851033</v>
      </c>
      <c r="M7" s="5"/>
    </row>
    <row r="8" spans="1:13" ht="18" customHeight="1">
      <c r="A8" s="72" t="s">
        <v>635</v>
      </c>
      <c r="B8" s="11">
        <f aca="true" t="shared" si="5" ref="B8:K8">B9+B10+B14+B15</f>
        <v>2495008</v>
      </c>
      <c r="C8" s="11">
        <f t="shared" si="5"/>
        <v>1866892.45</v>
      </c>
      <c r="D8" s="11">
        <f t="shared" si="5"/>
        <v>118701</v>
      </c>
      <c r="E8" s="11">
        <f t="shared" si="5"/>
        <v>1985593.45</v>
      </c>
      <c r="F8" s="40">
        <f t="shared" si="1"/>
        <v>0.7958264863278995</v>
      </c>
      <c r="G8" s="11">
        <f t="shared" si="5"/>
        <v>2101052.7</v>
      </c>
      <c r="H8" s="11">
        <f t="shared" si="5"/>
        <v>419930</v>
      </c>
      <c r="I8" s="11">
        <f t="shared" si="5"/>
        <v>455930</v>
      </c>
      <c r="J8" s="11">
        <f t="shared" si="5"/>
        <v>624596.35</v>
      </c>
      <c r="K8" s="11">
        <f t="shared" si="5"/>
        <v>600596.35</v>
      </c>
      <c r="L8" s="41">
        <f t="shared" si="2"/>
        <v>1.0581484845248659</v>
      </c>
      <c r="M8" s="5"/>
    </row>
    <row r="9" spans="1:13" ht="18" customHeight="1">
      <c r="A9" s="72" t="s">
        <v>636</v>
      </c>
      <c r="B9" s="11">
        <f>'[4]13-2)营业成本预算表（三江居环境卫生)'!B9</f>
        <v>1436040</v>
      </c>
      <c r="C9" s="11">
        <f>'[4]13-2)营业成本预算表（三江居环境卫生)'!C9</f>
        <v>1151186.25</v>
      </c>
      <c r="D9" s="11">
        <f>'[4]13-2)营业成本预算表（三江居环境卫生)'!D9</f>
        <v>54910</v>
      </c>
      <c r="E9" s="11">
        <f aca="true" t="shared" si="6" ref="E9:E15">C9+D9</f>
        <v>1206096.25</v>
      </c>
      <c r="F9" s="40">
        <f t="shared" si="1"/>
        <v>0.8398765006545779</v>
      </c>
      <c r="G9" s="11">
        <f aca="true" t="shared" si="7" ref="G9:G15">SUM(H9:K9)</f>
        <v>1031160</v>
      </c>
      <c r="H9" s="11">
        <f>'[4]13-2)营业成本预算表（三江居环境卫生)'!H9</f>
        <v>257790</v>
      </c>
      <c r="I9" s="11">
        <f>'[4]13-2)营业成本预算表（三江居环境卫生)'!I9</f>
        <v>257790</v>
      </c>
      <c r="J9" s="11">
        <f>'[4]13-2)营业成本预算表（三江居环境卫生)'!J9</f>
        <v>257790</v>
      </c>
      <c r="K9" s="11">
        <f>'[4]13-2)营业成本预算表（三江居环境卫生)'!K9</f>
        <v>257790</v>
      </c>
      <c r="L9" s="41">
        <f t="shared" si="2"/>
        <v>0.8549566421419518</v>
      </c>
      <c r="M9" s="5"/>
    </row>
    <row r="10" spans="1:13" ht="18" customHeight="1">
      <c r="A10" s="72" t="s">
        <v>637</v>
      </c>
      <c r="B10" s="11">
        <f aca="true" t="shared" si="8" ref="B10:K10">SUM(B11:B13)</f>
        <v>533200</v>
      </c>
      <c r="C10" s="11">
        <f t="shared" si="8"/>
        <v>459407</v>
      </c>
      <c r="D10" s="11">
        <f t="shared" si="8"/>
        <v>42011</v>
      </c>
      <c r="E10" s="11">
        <f t="shared" si="8"/>
        <v>501418</v>
      </c>
      <c r="F10" s="40">
        <f t="shared" si="1"/>
        <v>0.9403938484621155</v>
      </c>
      <c r="G10" s="11">
        <f t="shared" si="8"/>
        <v>686332.7</v>
      </c>
      <c r="H10" s="11">
        <f t="shared" si="8"/>
        <v>87250</v>
      </c>
      <c r="I10" s="11">
        <f t="shared" si="8"/>
        <v>87250</v>
      </c>
      <c r="J10" s="11">
        <f t="shared" si="8"/>
        <v>255916.34999999998</v>
      </c>
      <c r="K10" s="11">
        <f t="shared" si="8"/>
        <v>255916.34999999998</v>
      </c>
      <c r="L10" s="41">
        <f t="shared" si="2"/>
        <v>1.3687835299091775</v>
      </c>
      <c r="M10" s="5"/>
    </row>
    <row r="11" spans="1:13" ht="18" customHeight="1">
      <c r="A11" s="75" t="s">
        <v>638</v>
      </c>
      <c r="B11" s="11">
        <f>'[4]13-2)营业成本预算表（三江居环境卫生)'!B11</f>
        <v>0</v>
      </c>
      <c r="C11" s="11">
        <f>'[4]13-2)营业成本预算表（三江居环境卫生)'!C11</f>
        <v>0</v>
      </c>
      <c r="D11" s="11">
        <f>'[4]13-2)营业成本预算表（三江居环境卫生)'!D11</f>
        <v>0</v>
      </c>
      <c r="E11" s="11">
        <f t="shared" si="6"/>
        <v>0</v>
      </c>
      <c r="F11" s="40" t="e">
        <f t="shared" si="1"/>
        <v>#DIV/0!</v>
      </c>
      <c r="G11" s="11">
        <f t="shared" si="7"/>
        <v>337332.69999999995</v>
      </c>
      <c r="H11" s="11">
        <f>'[4]13-2)营业成本预算表（三江居环境卫生)'!H11</f>
        <v>0</v>
      </c>
      <c r="I11" s="11">
        <f>'[4]13-2)营业成本预算表（三江居环境卫生)'!I11</f>
        <v>0</v>
      </c>
      <c r="J11" s="11">
        <f>'[4]13-2)营业成本预算表（三江居环境卫生)'!J11</f>
        <v>168666.34999999998</v>
      </c>
      <c r="K11" s="11">
        <f>'[4]13-2)营业成本预算表（三江居环境卫生)'!K11</f>
        <v>168666.34999999998</v>
      </c>
      <c r="L11" s="41" t="e">
        <f t="shared" si="2"/>
        <v>#DIV/0!</v>
      </c>
      <c r="M11" s="5"/>
    </row>
    <row r="12" spans="1:13" ht="18" customHeight="1">
      <c r="A12" s="75" t="s">
        <v>639</v>
      </c>
      <c r="B12" s="11">
        <f>'[4]13-2)营业成本预算表（三江居环境卫生)'!B12</f>
        <v>163200</v>
      </c>
      <c r="C12" s="11">
        <f>'[4]13-2)营业成本预算表（三江居环境卫生)'!C12</f>
        <v>148800</v>
      </c>
      <c r="D12" s="11">
        <f>'[4]13-2)营业成本预算表（三江居环境卫生)'!D12</f>
        <v>13600</v>
      </c>
      <c r="E12" s="11">
        <f t="shared" si="6"/>
        <v>162400</v>
      </c>
      <c r="F12" s="40">
        <f t="shared" si="1"/>
        <v>0.9950980392156863</v>
      </c>
      <c r="G12" s="11">
        <f t="shared" si="7"/>
        <v>102000</v>
      </c>
      <c r="H12" s="11">
        <f>'[4]13-2)营业成本预算表（三江居环境卫生)'!H12</f>
        <v>25500</v>
      </c>
      <c r="I12" s="11">
        <f>'[4]13-2)营业成本预算表（三江居环境卫生)'!I12</f>
        <v>25500</v>
      </c>
      <c r="J12" s="11">
        <f>'[4]13-2)营业成本预算表（三江居环境卫生)'!J12</f>
        <v>25500</v>
      </c>
      <c r="K12" s="11">
        <f>'[4]13-2)营业成本预算表（三江居环境卫生)'!K12</f>
        <v>25500</v>
      </c>
      <c r="L12" s="41">
        <f t="shared" si="2"/>
        <v>0.6280788177339901</v>
      </c>
      <c r="M12" s="5"/>
    </row>
    <row r="13" spans="1:13" ht="18" customHeight="1">
      <c r="A13" s="75" t="s">
        <v>640</v>
      </c>
      <c r="B13" s="11">
        <f>'[4]13-2)营业成本预算表（三江居环境卫生)'!B13</f>
        <v>370000</v>
      </c>
      <c r="C13" s="11">
        <f>'[4]13-2)营业成本预算表（三江居环境卫生)'!C13</f>
        <v>310607</v>
      </c>
      <c r="D13" s="11">
        <f>'[4]13-2)营业成本预算表（三江居环境卫生)'!D13</f>
        <v>28411</v>
      </c>
      <c r="E13" s="11">
        <f t="shared" si="6"/>
        <v>339018</v>
      </c>
      <c r="F13" s="40">
        <f t="shared" si="1"/>
        <v>0.9162648648648649</v>
      </c>
      <c r="G13" s="11">
        <f t="shared" si="7"/>
        <v>247000</v>
      </c>
      <c r="H13" s="11">
        <f>'[4]13-2)营业成本预算表（三江居环境卫生)'!H13</f>
        <v>61750</v>
      </c>
      <c r="I13" s="11">
        <f>'[4]13-2)营业成本预算表（三江居环境卫生)'!I13</f>
        <v>61750</v>
      </c>
      <c r="J13" s="11">
        <f>'[4]13-2)营业成本预算表（三江居环境卫生)'!J13</f>
        <v>61750</v>
      </c>
      <c r="K13" s="11">
        <f>'[4]13-2)营业成本预算表（三江居环境卫生)'!K13</f>
        <v>61750</v>
      </c>
      <c r="L13" s="41">
        <f t="shared" si="2"/>
        <v>0.7285748839294669</v>
      </c>
      <c r="M13" s="5"/>
    </row>
    <row r="14" spans="1:13" ht="18" customHeight="1">
      <c r="A14" s="72" t="s">
        <v>641</v>
      </c>
      <c r="B14" s="11">
        <f>'[4]13-2)营业成本预算表（三江居环境卫生)'!B14</f>
        <v>391368</v>
      </c>
      <c r="C14" s="11">
        <f>'[4]13-2)营业成本预算表（三江居环境卫生)'!C14</f>
        <v>184460</v>
      </c>
      <c r="D14" s="11">
        <f>'[4]13-2)营业成本预算表（三江居环境卫生)'!D14</f>
        <v>6320</v>
      </c>
      <c r="E14" s="11">
        <f t="shared" si="6"/>
        <v>190780</v>
      </c>
      <c r="F14" s="40">
        <f t="shared" si="1"/>
        <v>0.4874695938349584</v>
      </c>
      <c r="G14" s="11">
        <f t="shared" si="7"/>
        <v>265800</v>
      </c>
      <c r="H14" s="11">
        <f>'[4]13-2)营业成本预算表（三江居环境卫生)'!H14</f>
        <v>45450</v>
      </c>
      <c r="I14" s="11">
        <f>'[4]13-2)营业成本预算表（三江居环境卫生)'!I14</f>
        <v>81450</v>
      </c>
      <c r="J14" s="11">
        <f>'[4]13-2)营业成本预算表（三江居环境卫生)'!J14</f>
        <v>81450</v>
      </c>
      <c r="K14" s="11">
        <f>'[4]13-2)营业成本预算表（三江居环境卫生)'!K14</f>
        <v>57450</v>
      </c>
      <c r="L14" s="41">
        <f t="shared" si="2"/>
        <v>1.3932278016563582</v>
      </c>
      <c r="M14" s="5"/>
    </row>
    <row r="15" spans="1:13" ht="18" customHeight="1">
      <c r="A15" s="72" t="s">
        <v>642</v>
      </c>
      <c r="B15" s="11">
        <f>'[4]13-2)营业成本预算表（三江居环境卫生)'!B15</f>
        <v>134400</v>
      </c>
      <c r="C15" s="11">
        <f>'[4]13-2)营业成本预算表（三江居环境卫生)'!C15</f>
        <v>71839.2</v>
      </c>
      <c r="D15" s="11">
        <f>'[4]13-2)营业成本预算表（三江居环境卫生)'!D15</f>
        <v>15460</v>
      </c>
      <c r="E15" s="11">
        <f t="shared" si="6"/>
        <v>87299.2</v>
      </c>
      <c r="F15" s="40">
        <f t="shared" si="1"/>
        <v>0.649547619047619</v>
      </c>
      <c r="G15" s="11">
        <f t="shared" si="7"/>
        <v>117760</v>
      </c>
      <c r="H15" s="11">
        <f>'[4]13-2)营业成本预算表（三江居环境卫生)'!H15</f>
        <v>29440</v>
      </c>
      <c r="I15" s="11">
        <f>'[4]13-2)营业成本预算表（三江居环境卫生)'!I15</f>
        <v>29440</v>
      </c>
      <c r="J15" s="11">
        <f>'[4]13-2)营业成本预算表（三江居环境卫生)'!J15</f>
        <v>29440</v>
      </c>
      <c r="K15" s="11">
        <f>'[4]13-2)营业成本预算表（三江居环境卫生)'!K15</f>
        <v>29440</v>
      </c>
      <c r="L15" s="41">
        <f t="shared" si="2"/>
        <v>1.3489241596715664</v>
      </c>
      <c r="M15" s="5"/>
    </row>
    <row r="16" spans="1:13" ht="18" customHeight="1">
      <c r="A16" s="72" t="s">
        <v>643</v>
      </c>
      <c r="B16" s="11">
        <f aca="true" t="shared" si="9" ref="B16:K16">SUM(B17:B19)</f>
        <v>109766</v>
      </c>
      <c r="C16" s="11">
        <f t="shared" si="9"/>
        <v>162160</v>
      </c>
      <c r="D16" s="11">
        <f t="shared" si="9"/>
        <v>12144</v>
      </c>
      <c r="E16" s="11">
        <f t="shared" si="9"/>
        <v>174304</v>
      </c>
      <c r="F16" s="40">
        <f t="shared" si="1"/>
        <v>1.5879598418453802</v>
      </c>
      <c r="G16" s="11">
        <f t="shared" si="9"/>
        <v>59582</v>
      </c>
      <c r="H16" s="11">
        <f t="shared" si="9"/>
        <v>26008</v>
      </c>
      <c r="I16" s="11">
        <f t="shared" si="9"/>
        <v>31558</v>
      </c>
      <c r="J16" s="11">
        <f t="shared" si="9"/>
        <v>1008</v>
      </c>
      <c r="K16" s="11">
        <f t="shared" si="9"/>
        <v>1008</v>
      </c>
      <c r="L16" s="41">
        <f t="shared" si="2"/>
        <v>0.34182807049752156</v>
      </c>
      <c r="M16" s="5"/>
    </row>
    <row r="17" spans="1:13" ht="18" customHeight="1">
      <c r="A17" s="72" t="s">
        <v>644</v>
      </c>
      <c r="B17" s="11">
        <f>'[4]13-2)营业成本预算表（三江居环境卫生)'!B17</f>
        <v>0</v>
      </c>
      <c r="C17" s="11">
        <f>'[4]13-2)营业成本预算表（三江居环境卫生)'!C17</f>
        <v>107184</v>
      </c>
      <c r="D17" s="11">
        <f>'[4]13-2)营业成本预算表（三江居环境卫生)'!D17</f>
        <v>12144</v>
      </c>
      <c r="E17" s="11">
        <f aca="true" t="shared" si="10" ref="E17:E19">C17+D17</f>
        <v>119328</v>
      </c>
      <c r="F17" s="40" t="e">
        <f t="shared" si="1"/>
        <v>#DIV/0!</v>
      </c>
      <c r="G17" s="11">
        <f aca="true" t="shared" si="11" ref="G17:G19">SUM(H17:K17)</f>
        <v>4032</v>
      </c>
      <c r="H17" s="11">
        <f>'[4]13-2)营业成本预算表（三江居环境卫生)'!H17</f>
        <v>1008</v>
      </c>
      <c r="I17" s="11">
        <f>'[4]13-2)营业成本预算表（三江居环境卫生)'!I17</f>
        <v>1008</v>
      </c>
      <c r="J17" s="11">
        <f>'[4]13-2)营业成本预算表（三江居环境卫生)'!J17</f>
        <v>1008</v>
      </c>
      <c r="K17" s="11">
        <f>'[4]13-2)营业成本预算表（三江居环境卫生)'!K17</f>
        <v>1008</v>
      </c>
      <c r="L17" s="41">
        <f t="shared" si="2"/>
        <v>0.03378921962992759</v>
      </c>
      <c r="M17" s="5"/>
    </row>
    <row r="18" spans="1:13" ht="18" customHeight="1">
      <c r="A18" s="72" t="s">
        <v>645</v>
      </c>
      <c r="B18" s="11">
        <f>'[4]13-2)营业成本预算表（三江居环境卫生)'!B18</f>
        <v>32330</v>
      </c>
      <c r="C18" s="11">
        <f>'[4]13-2)营业成本预算表（三江居环境卫生)'!C18</f>
        <v>22520</v>
      </c>
      <c r="D18" s="11">
        <f>'[4]13-2)营业成本预算表（三江居环境卫生)'!D18</f>
        <v>0</v>
      </c>
      <c r="E18" s="11">
        <f t="shared" si="10"/>
        <v>22520</v>
      </c>
      <c r="F18" s="40">
        <f t="shared" si="1"/>
        <v>0.6965666563563254</v>
      </c>
      <c r="G18" s="11">
        <f t="shared" si="11"/>
        <v>30550</v>
      </c>
      <c r="H18" s="11">
        <f>'[4]13-2)营业成本预算表（三江居环境卫生)'!H18</f>
        <v>0</v>
      </c>
      <c r="I18" s="11">
        <f>'[4]13-2)营业成本预算表（三江居环境卫生)'!I18</f>
        <v>30550</v>
      </c>
      <c r="J18" s="11">
        <f>'[4]13-2)营业成本预算表（三江居环境卫生)'!J18</f>
        <v>0</v>
      </c>
      <c r="K18" s="11">
        <f>'[4]13-2)营业成本预算表（三江居环境卫生)'!K18</f>
        <v>0</v>
      </c>
      <c r="L18" s="41">
        <f t="shared" si="2"/>
        <v>1.3565719360568385</v>
      </c>
      <c r="M18" s="5"/>
    </row>
    <row r="19" spans="1:13" ht="18" customHeight="1">
      <c r="A19" s="72" t="s">
        <v>646</v>
      </c>
      <c r="B19" s="11">
        <f>'[4]13-2)营业成本预算表（三江居环境卫生)'!B19</f>
        <v>77436</v>
      </c>
      <c r="C19" s="11">
        <f>'[4]13-2)营业成本预算表（三江居环境卫生)'!C19</f>
        <v>32456</v>
      </c>
      <c r="D19" s="11">
        <f>'[4]13-2)营业成本预算表（三江居环境卫生)'!D19</f>
        <v>0</v>
      </c>
      <c r="E19" s="11">
        <f t="shared" si="10"/>
        <v>32456</v>
      </c>
      <c r="F19" s="40">
        <f t="shared" si="1"/>
        <v>0.41913321969109973</v>
      </c>
      <c r="G19" s="11">
        <f t="shared" si="11"/>
        <v>25000</v>
      </c>
      <c r="H19" s="11">
        <f>'[4]13-2)营业成本预算表（三江居环境卫生)'!H19</f>
        <v>25000</v>
      </c>
      <c r="I19" s="11">
        <f>'[4]13-2)营业成本预算表（三江居环境卫生)'!I19</f>
        <v>0</v>
      </c>
      <c r="J19" s="11">
        <f>'[4]13-2)营业成本预算表（三江居环境卫生)'!J19</f>
        <v>0</v>
      </c>
      <c r="K19" s="11">
        <f>'[4]13-2)营业成本预算表（三江居环境卫生)'!K19</f>
        <v>0</v>
      </c>
      <c r="L19" s="41">
        <f t="shared" si="2"/>
        <v>0.7702736011831403</v>
      </c>
      <c r="M19" s="5"/>
    </row>
    <row r="20" spans="1:13" ht="18" customHeight="1">
      <c r="A20" s="72" t="s">
        <v>647</v>
      </c>
      <c r="B20" s="11">
        <f aca="true" t="shared" si="12" ref="B20:K20">SUM(B21:B22)</f>
        <v>765774.84</v>
      </c>
      <c r="C20" s="11">
        <f t="shared" si="12"/>
        <v>610924.0599999999</v>
      </c>
      <c r="D20" s="11">
        <f t="shared" si="12"/>
        <v>62020.62</v>
      </c>
      <c r="E20" s="11">
        <f t="shared" si="12"/>
        <v>672944.6799999999</v>
      </c>
      <c r="F20" s="40">
        <f t="shared" si="1"/>
        <v>0.8787761687234331</v>
      </c>
      <c r="G20" s="11">
        <f t="shared" si="12"/>
        <v>665500.0799999998</v>
      </c>
      <c r="H20" s="11">
        <f t="shared" si="12"/>
        <v>166375.01999999996</v>
      </c>
      <c r="I20" s="11">
        <f t="shared" si="12"/>
        <v>166375.01999999996</v>
      </c>
      <c r="J20" s="11">
        <f t="shared" si="12"/>
        <v>166375.01999999996</v>
      </c>
      <c r="K20" s="11">
        <f t="shared" si="12"/>
        <v>166375.01999999996</v>
      </c>
      <c r="L20" s="41">
        <f t="shared" si="2"/>
        <v>0.9889372778755007</v>
      </c>
      <c r="M20" s="5"/>
    </row>
    <row r="21" spans="1:13" ht="18" customHeight="1">
      <c r="A21" s="72" t="s">
        <v>648</v>
      </c>
      <c r="B21" s="11">
        <f>'[4]13-2)营业成本预算表（三江居环境卫生)'!B21</f>
        <v>680460.72</v>
      </c>
      <c r="C21" s="11">
        <f>'[4]13-2)营业成本预算表（三江居环境卫生)'!C21</f>
        <v>531598.07</v>
      </c>
      <c r="D21" s="11">
        <f>'[4]13-2)营业成本预算表（三江居环境卫生)'!D21</f>
        <v>53192.55</v>
      </c>
      <c r="E21" s="11">
        <f aca="true" t="shared" si="13" ref="E21:E26">C21+D21</f>
        <v>584790.62</v>
      </c>
      <c r="F21" s="40">
        <f t="shared" si="1"/>
        <v>0.8594039344401835</v>
      </c>
      <c r="G21" s="11">
        <f aca="true" t="shared" si="14" ref="G21:G26">SUM(H21:K21)</f>
        <v>573755.0399999998</v>
      </c>
      <c r="H21" s="11">
        <f>'[4]13-2)营业成本预算表（三江居环境卫生)'!H21</f>
        <v>143438.75999999995</v>
      </c>
      <c r="I21" s="11">
        <f>'[4]13-2)营业成本预算表（三江居环境卫生)'!I21</f>
        <v>143438.75999999995</v>
      </c>
      <c r="J21" s="11">
        <f>'[4]13-2)营业成本预算表（三江居环境卫生)'!J21</f>
        <v>143438.75999999995</v>
      </c>
      <c r="K21" s="11">
        <f>'[4]13-2)营业成本预算表（三江居环境卫生)'!K21</f>
        <v>143438.75999999995</v>
      </c>
      <c r="L21" s="41">
        <f t="shared" si="2"/>
        <v>0.981129006480986</v>
      </c>
      <c r="M21" s="5"/>
    </row>
    <row r="22" spans="1:13" ht="18" customHeight="1">
      <c r="A22" s="72" t="s">
        <v>649</v>
      </c>
      <c r="B22" s="11">
        <f>'[4]13-2)营业成本预算表（三江居环境卫生)'!B22</f>
        <v>85314.12</v>
      </c>
      <c r="C22" s="11">
        <f>'[4]13-2)营业成本预算表（三江居环境卫生)'!C22</f>
        <v>79325.99</v>
      </c>
      <c r="D22" s="11">
        <f>'[4]13-2)营业成本预算表（三江居环境卫生)'!D22</f>
        <v>8828.07</v>
      </c>
      <c r="E22" s="11">
        <f t="shared" si="13"/>
        <v>88154.06</v>
      </c>
      <c r="F22" s="40">
        <f t="shared" si="1"/>
        <v>1.033288041885681</v>
      </c>
      <c r="G22" s="11">
        <f t="shared" si="14"/>
        <v>91745.04000000005</v>
      </c>
      <c r="H22" s="11">
        <f>'[4]13-2)营业成本预算表（三江居环境卫生)'!H22</f>
        <v>22936.260000000013</v>
      </c>
      <c r="I22" s="11">
        <f>'[4]13-2)营业成本预算表（三江居环境卫生)'!I22</f>
        <v>22936.260000000013</v>
      </c>
      <c r="J22" s="11">
        <f>'[4]13-2)营业成本预算表（三江居环境卫生)'!J22</f>
        <v>22936.260000000013</v>
      </c>
      <c r="K22" s="11">
        <f>'[4]13-2)营业成本预算表（三江居环境卫生)'!K22</f>
        <v>22936.260000000013</v>
      </c>
      <c r="L22" s="41">
        <f t="shared" si="2"/>
        <v>1.0407352764013371</v>
      </c>
      <c r="M22" s="5"/>
    </row>
    <row r="23" spans="1:13" ht="18" customHeight="1">
      <c r="A23" s="72" t="s">
        <v>650</v>
      </c>
      <c r="B23" s="11">
        <f>'[4]13-2)营业成本预算表（三江居环境卫生)'!B23</f>
        <v>103500</v>
      </c>
      <c r="C23" s="11">
        <f>'[4]13-2)营业成本预算表（三江居环境卫生)'!C23</f>
        <v>95187</v>
      </c>
      <c r="D23" s="11">
        <f>'[4]13-2)营业成本预算表（三江居环境卫生)'!D23</f>
        <v>8697</v>
      </c>
      <c r="E23" s="11">
        <f t="shared" si="13"/>
        <v>103884</v>
      </c>
      <c r="F23" s="40">
        <f t="shared" si="1"/>
        <v>1.0037101449275363</v>
      </c>
      <c r="G23" s="11">
        <f t="shared" si="14"/>
        <v>73896</v>
      </c>
      <c r="H23" s="11">
        <f>'[4]13-2)营业成本预算表（三江居环境卫生)'!H23</f>
        <v>18474</v>
      </c>
      <c r="I23" s="11">
        <f>'[4]13-2)营业成本预算表（三江居环境卫生)'!I23</f>
        <v>18474</v>
      </c>
      <c r="J23" s="11">
        <f>'[4]13-2)营业成本预算表（三江居环境卫生)'!J23</f>
        <v>18474</v>
      </c>
      <c r="K23" s="11">
        <f>'[4]13-2)营业成本预算表（三江居环境卫生)'!K23</f>
        <v>18474</v>
      </c>
      <c r="L23" s="41">
        <f t="shared" si="2"/>
        <v>0.711331870162874</v>
      </c>
      <c r="M23" s="5"/>
    </row>
    <row r="24" spans="1:13" ht="18" customHeight="1">
      <c r="A24" s="72" t="s">
        <v>651</v>
      </c>
      <c r="B24" s="11">
        <f>'[4]13-2)营业成本预算表（三江居环境卫生)'!B24</f>
        <v>35841.12</v>
      </c>
      <c r="C24" s="11">
        <f>'[4]13-2)营业成本预算表（三江居环境卫生)'!C24</f>
        <v>0</v>
      </c>
      <c r="D24" s="11">
        <f>'[4]13-2)营业成本预算表（三江居环境卫生)'!D24</f>
        <v>0</v>
      </c>
      <c r="E24" s="11">
        <f t="shared" si="13"/>
        <v>0</v>
      </c>
      <c r="F24" s="40">
        <f t="shared" si="1"/>
        <v>0</v>
      </c>
      <c r="G24" s="11">
        <f t="shared" si="14"/>
        <v>12344.699999999986</v>
      </c>
      <c r="H24" s="11">
        <f>'[4]13-2)营业成本预算表（三江居环境卫生)'!H24</f>
        <v>3086.1749999999965</v>
      </c>
      <c r="I24" s="11">
        <f>'[4]13-2)营业成本预算表（三江居环境卫生)'!I24</f>
        <v>3086.1749999999965</v>
      </c>
      <c r="J24" s="11">
        <f>'[4]13-2)营业成本预算表（三江居环境卫生)'!J24</f>
        <v>3086.1749999999965</v>
      </c>
      <c r="K24" s="11">
        <f>'[4]13-2)营业成本预算表（三江居环境卫生)'!K24</f>
        <v>3086.1749999999965</v>
      </c>
      <c r="L24" s="41" t="e">
        <f t="shared" si="2"/>
        <v>#DIV/0!</v>
      </c>
      <c r="M24" s="5"/>
    </row>
    <row r="25" spans="1:13" ht="18" customHeight="1">
      <c r="A25" s="72" t="s">
        <v>652</v>
      </c>
      <c r="B25" s="11">
        <f>'[4]13-2)营业成本预算表（三江居环境卫生)'!B25</f>
        <v>47788.16</v>
      </c>
      <c r="C25" s="11">
        <f>'[4]13-2)营业成本预算表（三江居环境卫生)'!C25</f>
        <v>0</v>
      </c>
      <c r="D25" s="11">
        <f>'[4]13-2)营业成本预算表（三江居环境卫生)'!D25</f>
        <v>0</v>
      </c>
      <c r="E25" s="11">
        <f t="shared" si="13"/>
        <v>0</v>
      </c>
      <c r="F25" s="40">
        <f t="shared" si="1"/>
        <v>0</v>
      </c>
      <c r="G25" s="11">
        <f t="shared" si="14"/>
        <v>32919.20000000003</v>
      </c>
      <c r="H25" s="11">
        <f>'[4]13-2)营业成本预算表（三江居环境卫生)'!H25</f>
        <v>8229.800000000008</v>
      </c>
      <c r="I25" s="11">
        <f>'[4]13-2)营业成本预算表（三江居环境卫生)'!I25</f>
        <v>8229.800000000008</v>
      </c>
      <c r="J25" s="11">
        <f>'[4]13-2)营业成本预算表（三江居环境卫生)'!J25</f>
        <v>8229.800000000008</v>
      </c>
      <c r="K25" s="11">
        <f>'[4]13-2)营业成本预算表（三江居环境卫生)'!K25</f>
        <v>8229.800000000008</v>
      </c>
      <c r="L25" s="41" t="e">
        <f t="shared" si="2"/>
        <v>#DIV/0!</v>
      </c>
      <c r="M25" s="5"/>
    </row>
    <row r="26" spans="1:13" ht="18" customHeight="1">
      <c r="A26" s="108" t="s">
        <v>653</v>
      </c>
      <c r="B26" s="11">
        <f>'[4]13-2)营业成本预算表（三江居环境卫生)'!B26</f>
        <v>155625</v>
      </c>
      <c r="C26" s="11">
        <f>'[4]13-2)营业成本预算表（三江居环境卫生)'!C26</f>
        <v>150165.98</v>
      </c>
      <c r="D26" s="11">
        <f>'[4]13-2)营业成本预算表（三江居环境卫生)'!D26</f>
        <v>0</v>
      </c>
      <c r="E26" s="11">
        <f t="shared" si="13"/>
        <v>150165.98</v>
      </c>
      <c r="F26" s="40">
        <f t="shared" si="1"/>
        <v>0.9649219598393575</v>
      </c>
      <c r="G26" s="11">
        <f t="shared" si="14"/>
        <v>200000</v>
      </c>
      <c r="H26" s="11">
        <f>'[4]13-2)营业成本预算表（三江居环境卫生)'!H26</f>
        <v>50000</v>
      </c>
      <c r="I26" s="11">
        <f>'[4]13-2)营业成本预算表（三江居环境卫生)'!I26</f>
        <v>50000</v>
      </c>
      <c r="J26" s="11">
        <f>'[4]13-2)营业成本预算表（三江居环境卫生)'!J26</f>
        <v>50000</v>
      </c>
      <c r="K26" s="11">
        <f>'[4]13-2)营业成本预算表（三江居环境卫生)'!K26</f>
        <v>50000</v>
      </c>
      <c r="L26" s="41">
        <f t="shared" si="2"/>
        <v>1.3318595863057663</v>
      </c>
      <c r="M26" s="5"/>
    </row>
    <row r="27" spans="1:13" ht="18" customHeight="1">
      <c r="A27" s="108" t="s">
        <v>698</v>
      </c>
      <c r="B27" s="11">
        <f aca="true" t="shared" si="15" ref="B27:K27">SUM(B28:B31)</f>
        <v>0</v>
      </c>
      <c r="C27" s="11">
        <f t="shared" si="15"/>
        <v>209744.94</v>
      </c>
      <c r="D27" s="11">
        <f t="shared" si="15"/>
        <v>48200</v>
      </c>
      <c r="E27" s="11">
        <f t="shared" si="15"/>
        <v>257944.94</v>
      </c>
      <c r="F27" s="40" t="e">
        <f t="shared" si="1"/>
        <v>#DIV/0!</v>
      </c>
      <c r="G27" s="11">
        <f t="shared" si="15"/>
        <v>390780</v>
      </c>
      <c r="H27" s="11">
        <f t="shared" si="15"/>
        <v>86040</v>
      </c>
      <c r="I27" s="11">
        <f t="shared" si="15"/>
        <v>86040</v>
      </c>
      <c r="J27" s="11">
        <f t="shared" si="15"/>
        <v>109350</v>
      </c>
      <c r="K27" s="11">
        <f t="shared" si="15"/>
        <v>109350</v>
      </c>
      <c r="L27" s="41">
        <f t="shared" si="2"/>
        <v>1.5149744747852003</v>
      </c>
      <c r="M27" s="5"/>
    </row>
    <row r="28" spans="1:13" ht="18" customHeight="1">
      <c r="A28" s="108" t="s">
        <v>655</v>
      </c>
      <c r="B28" s="11">
        <f>'[4]13-2)营业成本预算表（三江居环境卫生)'!B28</f>
        <v>0</v>
      </c>
      <c r="C28" s="11">
        <f>'[4]13-2)营业成本预算表（三江居环境卫生)'!C28</f>
        <v>160167.44</v>
      </c>
      <c r="D28" s="11">
        <f>'[4]13-2)营业成本预算表（三江居环境卫生)'!D28</f>
        <v>23000</v>
      </c>
      <c r="E28" s="11">
        <f aca="true" t="shared" si="16" ref="E28:E31">C28+D28</f>
        <v>183167.44</v>
      </c>
      <c r="F28" s="40" t="e">
        <f t="shared" si="1"/>
        <v>#DIV/0!</v>
      </c>
      <c r="G28" s="11">
        <f aca="true" t="shared" si="17" ref="G28:G31">SUM(H28:K28)</f>
        <v>212000</v>
      </c>
      <c r="H28" s="11">
        <f>'[4]13-2)营业成本预算表（三江居环境卫生)'!H28</f>
        <v>53000</v>
      </c>
      <c r="I28" s="11">
        <f>'[4]13-2)营业成本预算表（三江居环境卫生)'!I28</f>
        <v>53000</v>
      </c>
      <c r="J28" s="11">
        <f>'[4]13-2)营业成本预算表（三江居环境卫生)'!J28</f>
        <v>53000</v>
      </c>
      <c r="K28" s="11">
        <f>'[4]13-2)营业成本预算表（三江居环境卫生)'!K28</f>
        <v>53000</v>
      </c>
      <c r="L28" s="41">
        <f t="shared" si="2"/>
        <v>1.1574109459628852</v>
      </c>
      <c r="M28" s="5"/>
    </row>
    <row r="29" spans="1:13" ht="18" customHeight="1">
      <c r="A29" s="108" t="s">
        <v>656</v>
      </c>
      <c r="B29" s="11">
        <f>'[4]13-2)营业成本预算表（三江居环境卫生)'!B29</f>
        <v>0</v>
      </c>
      <c r="C29" s="11">
        <f>'[4]13-2)营业成本预算表（三江居环境卫生)'!C29</f>
        <v>23232.51</v>
      </c>
      <c r="D29" s="11">
        <f>'[4]13-2)营业成本预算表（三江居环境卫生)'!D29</f>
        <v>0</v>
      </c>
      <c r="E29" s="11">
        <f t="shared" si="16"/>
        <v>23232.51</v>
      </c>
      <c r="F29" s="40" t="e">
        <f t="shared" si="1"/>
        <v>#DIV/0!</v>
      </c>
      <c r="G29" s="11">
        <f t="shared" si="17"/>
        <v>49500</v>
      </c>
      <c r="H29" s="11">
        <f>'[4]13-2)营业成本预算表（三江居环境卫生)'!H29</f>
        <v>0</v>
      </c>
      <c r="I29" s="11">
        <f>'[4]13-2)营业成本预算表（三江居环境卫生)'!I29</f>
        <v>0</v>
      </c>
      <c r="J29" s="11">
        <f>'[4]13-2)营业成本预算表（三江居环境卫生)'!J29</f>
        <v>24750</v>
      </c>
      <c r="K29" s="11">
        <f>'[4]13-2)营业成本预算表（三江居环境卫生)'!K29</f>
        <v>24750</v>
      </c>
      <c r="L29" s="41">
        <f t="shared" si="2"/>
        <v>2.130635045460004</v>
      </c>
      <c r="M29" s="5"/>
    </row>
    <row r="30" spans="1:13" ht="18" customHeight="1">
      <c r="A30" s="108" t="s">
        <v>657</v>
      </c>
      <c r="B30" s="11">
        <f>'[4]13-2)营业成本预算表（三江居环境卫生)'!B30</f>
        <v>0</v>
      </c>
      <c r="C30" s="11">
        <f>'[4]13-2)营业成本预算表（三江居环境卫生)'!C30</f>
        <v>26344.99</v>
      </c>
      <c r="D30" s="11">
        <f>'[4]13-2)营业成本预算表（三江居环境卫生)'!D30</f>
        <v>25200</v>
      </c>
      <c r="E30" s="11">
        <f t="shared" si="16"/>
        <v>51544.990000000005</v>
      </c>
      <c r="F30" s="40" t="e">
        <f t="shared" si="1"/>
        <v>#DIV/0!</v>
      </c>
      <c r="G30" s="11">
        <f t="shared" si="17"/>
        <v>129280</v>
      </c>
      <c r="H30" s="11">
        <f>'[4]13-2)营业成本预算表（三江居环境卫生)'!H30</f>
        <v>33040</v>
      </c>
      <c r="I30" s="11">
        <f>'[4]13-2)营业成本预算表（三江居环境卫生)'!I30</f>
        <v>33040</v>
      </c>
      <c r="J30" s="11">
        <f>'[4]13-2)营业成本预算表（三江居环境卫生)'!J30</f>
        <v>31600</v>
      </c>
      <c r="K30" s="11">
        <f>'[4]13-2)营业成本预算表（三江居环境卫生)'!K30</f>
        <v>31600</v>
      </c>
      <c r="L30" s="41">
        <f t="shared" si="2"/>
        <v>2.508100205276982</v>
      </c>
      <c r="M30" s="5"/>
    </row>
    <row r="31" spans="1:13" ht="18" customHeight="1">
      <c r="A31" s="108" t="s">
        <v>699</v>
      </c>
      <c r="B31" s="11">
        <f>'[4]13-2)营业成本预算表（三江居环境卫生)'!B31</f>
        <v>0</v>
      </c>
      <c r="C31" s="11">
        <f>'[4]13-2)营业成本预算表（三江居环境卫生)'!C31</f>
        <v>0</v>
      </c>
      <c r="D31" s="11">
        <f>'[4]13-2)营业成本预算表（三江居环境卫生)'!D31</f>
        <v>0</v>
      </c>
      <c r="E31" s="11">
        <f t="shared" si="16"/>
        <v>0</v>
      </c>
      <c r="F31" s="40" t="e">
        <f t="shared" si="1"/>
        <v>#DIV/0!</v>
      </c>
      <c r="G31" s="11">
        <f t="shared" si="17"/>
        <v>0</v>
      </c>
      <c r="H31" s="11">
        <f>'[4]13-2)营业成本预算表（三江居环境卫生)'!H31</f>
        <v>0</v>
      </c>
      <c r="I31" s="11">
        <f>'[4]13-2)营业成本预算表（三江居环境卫生)'!I31</f>
        <v>0</v>
      </c>
      <c r="J31" s="11">
        <f>'[4]13-2)营业成本预算表（三江居环境卫生)'!J31</f>
        <v>0</v>
      </c>
      <c r="K31" s="11">
        <f>'[4]13-2)营业成本预算表（三江居环境卫生)'!K31</f>
        <v>0</v>
      </c>
      <c r="L31" s="41" t="e">
        <f t="shared" si="2"/>
        <v>#DIV/0!</v>
      </c>
      <c r="M31" s="5"/>
    </row>
    <row r="32" spans="1:13" ht="18" customHeight="1">
      <c r="A32" s="25" t="s">
        <v>659</v>
      </c>
      <c r="B32" s="26">
        <f aca="true" t="shared" si="18" ref="B32:K32">SUM(B33:B42)</f>
        <v>6500</v>
      </c>
      <c r="C32" s="26">
        <f t="shared" si="18"/>
        <v>21368</v>
      </c>
      <c r="D32" s="26">
        <f t="shared" si="18"/>
        <v>700</v>
      </c>
      <c r="E32" s="26">
        <f t="shared" si="18"/>
        <v>22068</v>
      </c>
      <c r="F32" s="40">
        <f t="shared" si="1"/>
        <v>3.395076923076923</v>
      </c>
      <c r="G32" s="26">
        <f t="shared" si="18"/>
        <v>35580</v>
      </c>
      <c r="H32" s="26">
        <f t="shared" si="18"/>
        <v>8895</v>
      </c>
      <c r="I32" s="26">
        <f t="shared" si="18"/>
        <v>8895</v>
      </c>
      <c r="J32" s="26">
        <f t="shared" si="18"/>
        <v>8895</v>
      </c>
      <c r="K32" s="26">
        <f t="shared" si="18"/>
        <v>8895</v>
      </c>
      <c r="L32" s="41">
        <f t="shared" si="2"/>
        <v>1.612289287656335</v>
      </c>
      <c r="M32" s="5"/>
    </row>
    <row r="33" spans="1:13" ht="18" customHeight="1">
      <c r="A33" s="25" t="s">
        <v>660</v>
      </c>
      <c r="B33" s="11">
        <f>'[4]13-2)营业成本预算表（三江居环境卫生)'!B33</f>
        <v>2000</v>
      </c>
      <c r="C33" s="11">
        <f>'[4]13-2)营业成本预算表（三江居环境卫生)'!C33</f>
        <v>1404</v>
      </c>
      <c r="D33" s="11">
        <f>'[4]13-2)营业成本预算表（三江居环境卫生)'!D33</f>
        <v>700</v>
      </c>
      <c r="E33" s="11">
        <f aca="true" t="shared" si="19" ref="E33:E42">C33+D33</f>
        <v>2104</v>
      </c>
      <c r="F33" s="40">
        <f t="shared" si="1"/>
        <v>1.052</v>
      </c>
      <c r="G33" s="11">
        <f aca="true" t="shared" si="20" ref="G33:G42">SUM(H33:K33)</f>
        <v>0</v>
      </c>
      <c r="H33" s="11">
        <f>'[4]13-2)营业成本预算表（三江居环境卫生)'!H33</f>
        <v>0</v>
      </c>
      <c r="I33" s="11">
        <f>'[4]13-2)营业成本预算表（三江居环境卫生)'!I33</f>
        <v>0</v>
      </c>
      <c r="J33" s="11">
        <f>'[4]13-2)营业成本预算表（三江居环境卫生)'!J33</f>
        <v>0</v>
      </c>
      <c r="K33" s="11">
        <f>'[4]13-2)营业成本预算表（三江居环境卫生)'!K33</f>
        <v>0</v>
      </c>
      <c r="L33" s="41">
        <f t="shared" si="2"/>
        <v>0</v>
      </c>
      <c r="M33" s="5"/>
    </row>
    <row r="34" spans="1:13" ht="18" customHeight="1">
      <c r="A34" s="25" t="s">
        <v>661</v>
      </c>
      <c r="B34" s="11">
        <f>'[4]13-2)营业成本预算表（三江居环境卫生)'!B34</f>
        <v>2000</v>
      </c>
      <c r="C34" s="11">
        <f>'[4]13-2)营业成本预算表（三江居环境卫生)'!C34</f>
        <v>56</v>
      </c>
      <c r="D34" s="11">
        <f>'[4]13-2)营业成本预算表（三江居环境卫生)'!D34</f>
        <v>0</v>
      </c>
      <c r="E34" s="11">
        <f t="shared" si="19"/>
        <v>56</v>
      </c>
      <c r="F34" s="40">
        <f t="shared" si="1"/>
        <v>0.028</v>
      </c>
      <c r="G34" s="11">
        <f t="shared" si="20"/>
        <v>0</v>
      </c>
      <c r="H34" s="11">
        <f>'[4]13-2)营业成本预算表（三江居环境卫生)'!H34</f>
        <v>0</v>
      </c>
      <c r="I34" s="11">
        <f>'[4]13-2)营业成本预算表（三江居环境卫生)'!I34</f>
        <v>0</v>
      </c>
      <c r="J34" s="11">
        <f>'[4]13-2)营业成本预算表（三江居环境卫生)'!J34</f>
        <v>0</v>
      </c>
      <c r="K34" s="11">
        <f>'[4]13-2)营业成本预算表（三江居环境卫生)'!K34</f>
        <v>0</v>
      </c>
      <c r="L34" s="41">
        <f t="shared" si="2"/>
        <v>0</v>
      </c>
      <c r="M34" s="5"/>
    </row>
    <row r="35" spans="1:13" ht="18" customHeight="1">
      <c r="A35" s="25" t="s">
        <v>662</v>
      </c>
      <c r="B35" s="11">
        <f>'[4]13-2)营业成本预算表（三江居环境卫生)'!B35</f>
        <v>0</v>
      </c>
      <c r="C35" s="11">
        <f>'[4]13-2)营业成本预算表（三江居环境卫生)'!C35</f>
        <v>0</v>
      </c>
      <c r="D35" s="11">
        <f>'[4]13-2)营业成本预算表（三江居环境卫生)'!D35</f>
        <v>0</v>
      </c>
      <c r="E35" s="11">
        <f t="shared" si="19"/>
        <v>0</v>
      </c>
      <c r="F35" s="40" t="e">
        <f t="shared" si="1"/>
        <v>#DIV/0!</v>
      </c>
      <c r="G35" s="11">
        <f t="shared" si="20"/>
        <v>11000</v>
      </c>
      <c r="H35" s="11">
        <f>'[4]13-2)营业成本预算表（三江居环境卫生)'!H35</f>
        <v>2750</v>
      </c>
      <c r="I35" s="11">
        <f>'[4]13-2)营业成本预算表（三江居环境卫生)'!I35</f>
        <v>2750</v>
      </c>
      <c r="J35" s="11">
        <f>'[4]13-2)营业成本预算表（三江居环境卫生)'!J35</f>
        <v>2750</v>
      </c>
      <c r="K35" s="11">
        <f>'[4]13-2)营业成本预算表（三江居环境卫生)'!K35</f>
        <v>2750</v>
      </c>
      <c r="L35" s="41" t="e">
        <f t="shared" si="2"/>
        <v>#DIV/0!</v>
      </c>
      <c r="M35" s="5"/>
    </row>
    <row r="36" spans="1:13" ht="18" customHeight="1">
      <c r="A36" s="25" t="s">
        <v>663</v>
      </c>
      <c r="B36" s="11">
        <f>'[4]13-2)营业成本预算表（三江居环境卫生)'!B36</f>
        <v>0</v>
      </c>
      <c r="C36" s="11">
        <f>'[4]13-2)营业成本预算表（三江居环境卫生)'!C36</f>
        <v>0</v>
      </c>
      <c r="D36" s="11">
        <f>'[4]13-2)营业成本预算表（三江居环境卫生)'!D36</f>
        <v>0</v>
      </c>
      <c r="E36" s="11">
        <f t="shared" si="19"/>
        <v>0</v>
      </c>
      <c r="F36" s="40" t="e">
        <f t="shared" si="1"/>
        <v>#DIV/0!</v>
      </c>
      <c r="G36" s="11">
        <f t="shared" si="20"/>
        <v>0</v>
      </c>
      <c r="H36" s="11">
        <f>'[4]13-2)营业成本预算表（三江居环境卫生)'!H36</f>
        <v>0</v>
      </c>
      <c r="I36" s="11">
        <f>'[4]13-2)营业成本预算表（三江居环境卫生)'!I36</f>
        <v>0</v>
      </c>
      <c r="J36" s="11">
        <f>'[4]13-2)营业成本预算表（三江居环境卫生)'!J36</f>
        <v>0</v>
      </c>
      <c r="K36" s="11">
        <f>'[4]13-2)营业成本预算表（三江居环境卫生)'!K36</f>
        <v>0</v>
      </c>
      <c r="L36" s="41" t="e">
        <f t="shared" si="2"/>
        <v>#DIV/0!</v>
      </c>
      <c r="M36" s="5"/>
    </row>
    <row r="37" spans="1:13" ht="18" customHeight="1">
      <c r="A37" s="25" t="s">
        <v>664</v>
      </c>
      <c r="B37" s="11">
        <f>'[4]13-2)营业成本预算表（三江居环境卫生)'!B37</f>
        <v>0</v>
      </c>
      <c r="C37" s="11">
        <f>'[4]13-2)营业成本预算表（三江居环境卫生)'!C37</f>
        <v>0</v>
      </c>
      <c r="D37" s="11">
        <f>'[4]13-2)营业成本预算表（三江居环境卫生)'!D37</f>
        <v>0</v>
      </c>
      <c r="E37" s="11">
        <f t="shared" si="19"/>
        <v>0</v>
      </c>
      <c r="F37" s="40" t="e">
        <f t="shared" si="1"/>
        <v>#DIV/0!</v>
      </c>
      <c r="G37" s="11">
        <f t="shared" si="20"/>
        <v>0</v>
      </c>
      <c r="H37" s="11">
        <f>'[4]13-2)营业成本预算表（三江居环境卫生)'!H37</f>
        <v>0</v>
      </c>
      <c r="I37" s="11">
        <f>'[4]13-2)营业成本预算表（三江居环境卫生)'!I37</f>
        <v>0</v>
      </c>
      <c r="J37" s="11">
        <f>'[4]13-2)营业成本预算表（三江居环境卫生)'!J37</f>
        <v>0</v>
      </c>
      <c r="K37" s="11">
        <f>'[4]13-2)营业成本预算表（三江居环境卫生)'!K37</f>
        <v>0</v>
      </c>
      <c r="L37" s="41" t="e">
        <f t="shared" si="2"/>
        <v>#DIV/0!</v>
      </c>
      <c r="M37" s="5"/>
    </row>
    <row r="38" spans="1:13" ht="18" customHeight="1">
      <c r="A38" s="25" t="s">
        <v>665</v>
      </c>
      <c r="B38" s="11">
        <f>'[4]13-2)营业成本预算表（三江居环境卫生)'!B38</f>
        <v>0</v>
      </c>
      <c r="C38" s="11">
        <f>'[4]13-2)营业成本预算表（三江居环境卫生)'!C38</f>
        <v>0</v>
      </c>
      <c r="D38" s="11">
        <f>'[4]13-2)营业成本预算表（三江居环境卫生)'!D38</f>
        <v>0</v>
      </c>
      <c r="E38" s="11">
        <f t="shared" si="19"/>
        <v>0</v>
      </c>
      <c r="F38" s="40" t="e">
        <f t="shared" si="1"/>
        <v>#DIV/0!</v>
      </c>
      <c r="G38" s="11">
        <f t="shared" si="20"/>
        <v>0</v>
      </c>
      <c r="H38" s="11">
        <f>'[4]13-2)营业成本预算表（三江居环境卫生)'!H38</f>
        <v>0</v>
      </c>
      <c r="I38" s="11">
        <f>'[4]13-2)营业成本预算表（三江居环境卫生)'!I38</f>
        <v>0</v>
      </c>
      <c r="J38" s="11">
        <f>'[4]13-2)营业成本预算表（三江居环境卫生)'!J38</f>
        <v>0</v>
      </c>
      <c r="K38" s="11">
        <f>'[4]13-2)营业成本预算表（三江居环境卫生)'!K38</f>
        <v>0</v>
      </c>
      <c r="L38" s="41" t="e">
        <f t="shared" si="2"/>
        <v>#DIV/0!</v>
      </c>
      <c r="M38" s="5"/>
    </row>
    <row r="39" spans="1:13" ht="18" customHeight="1">
      <c r="A39" s="25" t="s">
        <v>666</v>
      </c>
      <c r="B39" s="11">
        <f>'[4]13-2)营业成本预算表（三江居环境卫生)'!B39</f>
        <v>0</v>
      </c>
      <c r="C39" s="11">
        <f>'[4]13-2)营业成本预算表（三江居环境卫生)'!C39</f>
        <v>170</v>
      </c>
      <c r="D39" s="11">
        <f>'[4]13-2)营业成本预算表（三江居环境卫生)'!D39</f>
        <v>0</v>
      </c>
      <c r="E39" s="11">
        <f t="shared" si="19"/>
        <v>170</v>
      </c>
      <c r="F39" s="40" t="e">
        <f t="shared" si="1"/>
        <v>#DIV/0!</v>
      </c>
      <c r="G39" s="11">
        <f t="shared" si="20"/>
        <v>0</v>
      </c>
      <c r="H39" s="11">
        <f>'[4]13-2)营业成本预算表（三江居环境卫生)'!H39</f>
        <v>0</v>
      </c>
      <c r="I39" s="11">
        <f>'[4]13-2)营业成本预算表（三江居环境卫生)'!I39</f>
        <v>0</v>
      </c>
      <c r="J39" s="11">
        <f>'[4]13-2)营业成本预算表（三江居环境卫生)'!J39</f>
        <v>0</v>
      </c>
      <c r="K39" s="11">
        <f>'[4]13-2)营业成本预算表（三江居环境卫生)'!K39</f>
        <v>0</v>
      </c>
      <c r="L39" s="41">
        <f t="shared" si="2"/>
        <v>0</v>
      </c>
      <c r="M39" s="5"/>
    </row>
    <row r="40" spans="1:13" ht="18" customHeight="1">
      <c r="A40" s="25" t="s">
        <v>667</v>
      </c>
      <c r="B40" s="11">
        <f>'[4]13-2)营业成本预算表（三江居环境卫生)'!B40</f>
        <v>0</v>
      </c>
      <c r="C40" s="11">
        <f>'[4]13-2)营业成本预算表（三江居环境卫生)'!C40</f>
        <v>18818</v>
      </c>
      <c r="D40" s="11">
        <f>'[4]13-2)营业成本预算表（三江居环境卫生)'!D40</f>
        <v>0</v>
      </c>
      <c r="E40" s="11">
        <f t="shared" si="19"/>
        <v>18818</v>
      </c>
      <c r="F40" s="40" t="e">
        <f t="shared" si="1"/>
        <v>#DIV/0!</v>
      </c>
      <c r="G40" s="11">
        <f t="shared" si="20"/>
        <v>24580</v>
      </c>
      <c r="H40" s="11">
        <f>'[4]13-2)营业成本预算表（三江居环境卫生)'!H40</f>
        <v>6145</v>
      </c>
      <c r="I40" s="11">
        <f>'[4]13-2)营业成本预算表（三江居环境卫生)'!I40</f>
        <v>6145</v>
      </c>
      <c r="J40" s="11">
        <f>'[4]13-2)营业成本预算表（三江居环境卫生)'!J40</f>
        <v>6145</v>
      </c>
      <c r="K40" s="11">
        <f>'[4]13-2)营业成本预算表（三江居环境卫生)'!K40</f>
        <v>6145</v>
      </c>
      <c r="L40" s="41">
        <f t="shared" si="2"/>
        <v>1.3061961951323202</v>
      </c>
      <c r="M40" s="5"/>
    </row>
    <row r="41" spans="1:13" ht="18" customHeight="1">
      <c r="A41" s="25" t="s">
        <v>668</v>
      </c>
      <c r="B41" s="11">
        <f>'[4]13-2)营业成本预算表（三江居环境卫生)'!B41</f>
        <v>0</v>
      </c>
      <c r="C41" s="11">
        <f>'[4]13-2)营业成本预算表（三江居环境卫生)'!C41</f>
        <v>0</v>
      </c>
      <c r="D41" s="11">
        <f>'[4]13-2)营业成本预算表（三江居环境卫生)'!D41</f>
        <v>0</v>
      </c>
      <c r="E41" s="11">
        <f t="shared" si="19"/>
        <v>0</v>
      </c>
      <c r="F41" s="40" t="e">
        <f t="shared" si="1"/>
        <v>#DIV/0!</v>
      </c>
      <c r="G41" s="11">
        <f t="shared" si="20"/>
        <v>0</v>
      </c>
      <c r="H41" s="11">
        <f>'[4]13-2)营业成本预算表（三江居环境卫生)'!H41</f>
        <v>0</v>
      </c>
      <c r="I41" s="11">
        <f>'[4]13-2)营业成本预算表（三江居环境卫生)'!I41</f>
        <v>0</v>
      </c>
      <c r="J41" s="11">
        <f>'[4]13-2)营业成本预算表（三江居环境卫生)'!J41</f>
        <v>0</v>
      </c>
      <c r="K41" s="11">
        <f>'[4]13-2)营业成本预算表（三江居环境卫生)'!K41</f>
        <v>0</v>
      </c>
      <c r="L41" s="41" t="e">
        <f t="shared" si="2"/>
        <v>#DIV/0!</v>
      </c>
      <c r="M41" s="5"/>
    </row>
    <row r="42" spans="1:13" ht="18" customHeight="1">
      <c r="A42" s="25" t="s">
        <v>669</v>
      </c>
      <c r="B42" s="11">
        <f>'[4]13-2)营业成本预算表（三江居环境卫生)'!B42</f>
        <v>2500</v>
      </c>
      <c r="C42" s="11">
        <f>'[4]13-2)营业成本预算表（三江居环境卫生)'!C42</f>
        <v>920</v>
      </c>
      <c r="D42" s="11">
        <f>'[4]13-2)营业成本预算表（三江居环境卫生)'!D42</f>
        <v>0</v>
      </c>
      <c r="E42" s="11">
        <f t="shared" si="19"/>
        <v>920</v>
      </c>
      <c r="F42" s="40">
        <f t="shared" si="1"/>
        <v>0.368</v>
      </c>
      <c r="G42" s="11">
        <f t="shared" si="20"/>
        <v>0</v>
      </c>
      <c r="H42" s="11">
        <f>'[4]13-2)营业成本预算表（三江居环境卫生)'!H42</f>
        <v>0</v>
      </c>
      <c r="I42" s="11">
        <f>'[4]13-2)营业成本预算表（三江居环境卫生)'!I42</f>
        <v>0</v>
      </c>
      <c r="J42" s="11">
        <f>'[4]13-2)营业成本预算表（三江居环境卫生)'!J42</f>
        <v>0</v>
      </c>
      <c r="K42" s="11">
        <f>'[4]13-2)营业成本预算表（三江居环境卫生)'!K42</f>
        <v>0</v>
      </c>
      <c r="L42" s="41">
        <f t="shared" si="2"/>
        <v>0</v>
      </c>
      <c r="M42" s="5"/>
    </row>
    <row r="43" spans="1:13" ht="18" customHeight="1">
      <c r="A43" s="25" t="s">
        <v>670</v>
      </c>
      <c r="B43" s="11">
        <f aca="true" t="shared" si="21" ref="B43:K43">SUM(B44:B46)</f>
        <v>553810.12</v>
      </c>
      <c r="C43" s="11">
        <f t="shared" si="21"/>
        <v>390363.77</v>
      </c>
      <c r="D43" s="11">
        <f t="shared" si="21"/>
        <v>23700</v>
      </c>
      <c r="E43" s="11">
        <f t="shared" si="21"/>
        <v>414063.77</v>
      </c>
      <c r="F43" s="40">
        <f t="shared" si="1"/>
        <v>0.7476637841143098</v>
      </c>
      <c r="G43" s="11">
        <f t="shared" si="21"/>
        <v>413433.67245378153</v>
      </c>
      <c r="H43" s="11">
        <f t="shared" si="21"/>
        <v>62010.17745378151</v>
      </c>
      <c r="I43" s="11">
        <f t="shared" si="21"/>
        <v>154642.415</v>
      </c>
      <c r="J43" s="11">
        <f t="shared" si="21"/>
        <v>147495.54</v>
      </c>
      <c r="K43" s="11">
        <f t="shared" si="21"/>
        <v>49285.54</v>
      </c>
      <c r="L43" s="41">
        <f t="shared" si="2"/>
        <v>0.9984782596501537</v>
      </c>
      <c r="M43" s="5"/>
    </row>
    <row r="44" spans="1:13" ht="18" customHeight="1">
      <c r="A44" s="25" t="s">
        <v>671</v>
      </c>
      <c r="B44" s="11">
        <f>'[4]13-2)营业成本预算表（三江居环境卫生)'!B44</f>
        <v>279773.12</v>
      </c>
      <c r="C44" s="11">
        <f>'[4]13-2)营业成本预算表（三江居环境卫生)'!C44</f>
        <v>218905.37</v>
      </c>
      <c r="D44" s="11">
        <f>'[4]13-2)营业成本预算表（三江居环境卫生)'!D44</f>
        <v>23700</v>
      </c>
      <c r="E44" s="11">
        <f aca="true" t="shared" si="22" ref="E44:E46">C44+D44</f>
        <v>242605.37</v>
      </c>
      <c r="F44" s="40">
        <f t="shared" si="1"/>
        <v>0.8671503895728081</v>
      </c>
      <c r="G44" s="11">
        <f aca="true" t="shared" si="23" ref="G44:G46">SUM(H44:K44)</f>
        <v>204713.67245378153</v>
      </c>
      <c r="H44" s="11">
        <f>'[4]13-2)营业成本预算表（三江居环境卫生)'!H44</f>
        <v>62010.17745378151</v>
      </c>
      <c r="I44" s="11">
        <f>'[4]13-2)营业成本预算表（三江居环境卫生)'!I44</f>
        <v>44132.415</v>
      </c>
      <c r="J44" s="11">
        <f>'[4]13-2)营业成本预算表（三江居环境卫生)'!J44</f>
        <v>49285.54</v>
      </c>
      <c r="K44" s="11">
        <f>'[4]13-2)营业成本预算表（三江居环境卫生)'!K44</f>
        <v>49285.54</v>
      </c>
      <c r="L44" s="41">
        <f t="shared" si="2"/>
        <v>0.8438134426034408</v>
      </c>
      <c r="M44" s="5"/>
    </row>
    <row r="45" spans="1:13" ht="18" customHeight="1">
      <c r="A45" s="25" t="s">
        <v>672</v>
      </c>
      <c r="B45" s="11">
        <f>'[4]13-2)营业成本预算表（三江居环境卫生)'!B45</f>
        <v>274037</v>
      </c>
      <c r="C45" s="11">
        <f>'[4]13-2)营业成本预算表（三江居环境卫生)'!C45</f>
        <v>171458.4</v>
      </c>
      <c r="D45" s="11">
        <f>'[4]13-2)营业成本预算表（三江居环境卫生)'!D45</f>
        <v>0</v>
      </c>
      <c r="E45" s="11">
        <f t="shared" si="22"/>
        <v>171458.4</v>
      </c>
      <c r="F45" s="40">
        <f t="shared" si="1"/>
        <v>0.6256760948339093</v>
      </c>
      <c r="G45" s="11">
        <f t="shared" si="23"/>
        <v>208720</v>
      </c>
      <c r="H45" s="11">
        <f>'[4]13-2)营业成本预算表（三江居环境卫生)'!H45</f>
        <v>0</v>
      </c>
      <c r="I45" s="11">
        <f>'[4]13-2)营业成本预算表（三江居环境卫生)'!I45</f>
        <v>110510</v>
      </c>
      <c r="J45" s="11">
        <f>'[4]13-2)营业成本预算表（三江居环境卫生)'!J45</f>
        <v>98210</v>
      </c>
      <c r="K45" s="11">
        <f>'[4]13-2)营业成本预算表（三江居环境卫生)'!K45</f>
        <v>0</v>
      </c>
      <c r="L45" s="41">
        <f t="shared" si="2"/>
        <v>1.2173215193889597</v>
      </c>
      <c r="M45" s="5"/>
    </row>
    <row r="46" spans="1:13" ht="18" customHeight="1">
      <c r="A46" s="25" t="s">
        <v>673</v>
      </c>
      <c r="B46" s="11">
        <f>'[4]13-2)营业成本预算表（三江居环境卫生)'!B46</f>
        <v>0</v>
      </c>
      <c r="C46" s="11">
        <f>'[4]13-2)营业成本预算表（三江居环境卫生)'!C46</f>
        <v>0</v>
      </c>
      <c r="D46" s="11">
        <f>'[4]13-2)营业成本预算表（三江居环境卫生)'!D46</f>
        <v>0</v>
      </c>
      <c r="E46" s="11">
        <f t="shared" si="22"/>
        <v>0</v>
      </c>
      <c r="F46" s="40" t="e">
        <f t="shared" si="1"/>
        <v>#DIV/0!</v>
      </c>
      <c r="G46" s="11">
        <f t="shared" si="23"/>
        <v>0</v>
      </c>
      <c r="H46" s="11">
        <f>'[4]13-2)营业成本预算表（三江居环境卫生)'!H46</f>
        <v>0</v>
      </c>
      <c r="I46" s="11">
        <f>'[4]13-2)营业成本预算表（三江居环境卫生)'!I46</f>
        <v>0</v>
      </c>
      <c r="J46" s="11">
        <f>'[4]13-2)营业成本预算表（三江居环境卫生)'!J46</f>
        <v>0</v>
      </c>
      <c r="K46" s="11">
        <f>'[4]13-2)营业成本预算表（三江居环境卫生)'!K46</f>
        <v>0</v>
      </c>
      <c r="L46" s="41" t="e">
        <f t="shared" si="2"/>
        <v>#DIV/0!</v>
      </c>
      <c r="M46" s="5"/>
    </row>
    <row r="47" spans="1:13" ht="18" customHeight="1">
      <c r="A47" s="25" t="s">
        <v>674</v>
      </c>
      <c r="B47" s="11"/>
      <c r="C47" s="12"/>
      <c r="D47" s="12"/>
      <c r="E47" s="11"/>
      <c r="F47" s="40"/>
      <c r="G47" s="11"/>
      <c r="H47" s="12"/>
      <c r="I47" s="12"/>
      <c r="J47" s="12"/>
      <c r="K47" s="12"/>
      <c r="L47" s="41"/>
      <c r="M47" s="5"/>
    </row>
    <row r="48" spans="1:13" ht="18" customHeight="1">
      <c r="A48" s="25" t="s">
        <v>628</v>
      </c>
      <c r="B48" s="11"/>
      <c r="C48" s="12"/>
      <c r="D48" s="12"/>
      <c r="E48" s="11"/>
      <c r="F48" s="40"/>
      <c r="G48" s="11"/>
      <c r="H48" s="12"/>
      <c r="I48" s="12"/>
      <c r="J48" s="12"/>
      <c r="K48" s="12"/>
      <c r="L48" s="41"/>
      <c r="M48" s="5"/>
    </row>
    <row r="49" spans="1:13" ht="18" customHeight="1">
      <c r="A49" s="25"/>
      <c r="B49" s="11"/>
      <c r="C49" s="12"/>
      <c r="D49" s="12"/>
      <c r="E49" s="11"/>
      <c r="F49" s="40"/>
      <c r="G49" s="11"/>
      <c r="H49" s="12"/>
      <c r="I49" s="12"/>
      <c r="J49" s="12"/>
      <c r="K49" s="12"/>
      <c r="L49" s="41"/>
      <c r="M49" s="5"/>
    </row>
    <row r="50" spans="1:13" ht="18" customHeight="1">
      <c r="A50" s="5"/>
      <c r="B50" s="5"/>
      <c r="C50" s="16"/>
      <c r="D50" s="4" t="s">
        <v>629</v>
      </c>
      <c r="E50" s="5"/>
      <c r="F50" s="5"/>
      <c r="G50" s="5"/>
      <c r="H50" s="16"/>
      <c r="I50" s="17" t="s">
        <v>630</v>
      </c>
      <c r="J50" s="5"/>
      <c r="K50" s="5"/>
      <c r="L50" s="5"/>
      <c r="M50" s="5"/>
    </row>
  </sheetData>
  <sheetProtection/>
  <mergeCells count="6">
    <mergeCell ref="A1:M1"/>
    <mergeCell ref="B3:F3"/>
    <mergeCell ref="G3:K3"/>
    <mergeCell ref="A3:A4"/>
    <mergeCell ref="L3:L4"/>
    <mergeCell ref="M3:M4"/>
  </mergeCells>
  <printOptions/>
  <pageMargins left="1.18" right="0.19" top="0.55" bottom="0.39" header="0.28" footer="0.16"/>
  <pageSetup fitToHeight="1" fitToWidth="1" horizontalDpi="300" verticalDpi="300" orientation="landscape" paperSize="9" scale="76"/>
</worksheet>
</file>

<file path=xl/worksheets/sheet26.xml><?xml version="1.0" encoding="utf-8"?>
<worksheet xmlns="http://schemas.openxmlformats.org/spreadsheetml/2006/main" xmlns:r="http://schemas.openxmlformats.org/officeDocument/2006/relationships">
  <sheetPr>
    <pageSetUpPr fitToPage="1"/>
  </sheetPr>
  <dimension ref="A1:M50"/>
  <sheetViews>
    <sheetView workbookViewId="0" topLeftCell="A1">
      <selection activeCell="O28" sqref="O28"/>
    </sheetView>
  </sheetViews>
  <sheetFormatPr defaultColWidth="9.140625" defaultRowHeight="12.75"/>
  <cols>
    <col min="1" max="1" width="30.28125" style="0" customWidth="1"/>
    <col min="2" max="2" width="13.140625" style="0" customWidth="1"/>
    <col min="3" max="3" width="10.7109375" style="0" customWidth="1"/>
    <col min="4" max="4" width="11.7109375" style="0" customWidth="1"/>
    <col min="5" max="6" width="10.7109375" style="0" customWidth="1"/>
    <col min="7" max="11" width="13.7109375" style="0" customWidth="1"/>
    <col min="12" max="13" width="10.7109375" style="0" customWidth="1"/>
  </cols>
  <sheetData>
    <row r="1" spans="1:13" ht="25.5" customHeight="1">
      <c r="A1" s="105" t="s">
        <v>700</v>
      </c>
      <c r="B1" s="23"/>
      <c r="C1" s="23" t="s">
        <v>598</v>
      </c>
      <c r="D1" s="23" t="s">
        <v>598</v>
      </c>
      <c r="E1" s="23" t="s">
        <v>598</v>
      </c>
      <c r="F1" s="23"/>
      <c r="G1" s="23" t="s">
        <v>598</v>
      </c>
      <c r="H1" s="23" t="s">
        <v>598</v>
      </c>
      <c r="I1" s="23" t="s">
        <v>598</v>
      </c>
      <c r="J1" s="23" t="s">
        <v>598</v>
      </c>
      <c r="K1" s="23" t="s">
        <v>598</v>
      </c>
      <c r="L1" s="23" t="s">
        <v>598</v>
      </c>
      <c r="M1" s="23" t="s">
        <v>598</v>
      </c>
    </row>
    <row r="2" spans="1:13" ht="18" customHeight="1">
      <c r="A2" s="106" t="s">
        <v>364</v>
      </c>
      <c r="B2" s="107"/>
      <c r="C2" s="45"/>
      <c r="D2" s="46"/>
      <c r="E2" s="47"/>
      <c r="F2" s="55"/>
      <c r="G2" s="24" t="s">
        <v>288</v>
      </c>
      <c r="H2" s="5"/>
      <c r="I2" s="5"/>
      <c r="J2" s="5"/>
      <c r="K2" s="5"/>
      <c r="L2" s="16" t="s">
        <v>599</v>
      </c>
      <c r="M2" s="5"/>
    </row>
    <row r="3" spans="1:13" ht="18" customHeight="1">
      <c r="A3" s="18" t="s">
        <v>290</v>
      </c>
      <c r="B3" s="90" t="s">
        <v>366</v>
      </c>
      <c r="C3" s="38"/>
      <c r="D3" s="38"/>
      <c r="E3" s="38"/>
      <c r="F3" s="39"/>
      <c r="G3" s="9" t="s">
        <v>292</v>
      </c>
      <c r="H3" s="9" t="s">
        <v>292</v>
      </c>
      <c r="I3" s="9" t="s">
        <v>292</v>
      </c>
      <c r="J3" s="9" t="s">
        <v>292</v>
      </c>
      <c r="K3" s="9" t="s">
        <v>292</v>
      </c>
      <c r="L3" s="9" t="s">
        <v>293</v>
      </c>
      <c r="M3" s="18" t="s">
        <v>33</v>
      </c>
    </row>
    <row r="4" spans="1:13" ht="18" customHeight="1">
      <c r="A4" s="18" t="s">
        <v>290</v>
      </c>
      <c r="B4" s="9" t="s">
        <v>294</v>
      </c>
      <c r="C4" s="9" t="s">
        <v>463</v>
      </c>
      <c r="D4" s="9" t="s">
        <v>296</v>
      </c>
      <c r="E4" s="9" t="s">
        <v>464</v>
      </c>
      <c r="F4" s="9" t="s">
        <v>299</v>
      </c>
      <c r="G4" s="9" t="s">
        <v>314</v>
      </c>
      <c r="H4" s="9" t="s">
        <v>324</v>
      </c>
      <c r="I4" s="9" t="s">
        <v>331</v>
      </c>
      <c r="J4" s="9" t="s">
        <v>334</v>
      </c>
      <c r="K4" s="9" t="s">
        <v>336</v>
      </c>
      <c r="L4" s="9" t="s">
        <v>293</v>
      </c>
      <c r="M4" s="18" t="s">
        <v>33</v>
      </c>
    </row>
    <row r="5" spans="1:13" ht="18" customHeight="1">
      <c r="A5" s="25" t="s">
        <v>691</v>
      </c>
      <c r="B5" s="11">
        <f aca="true" t="shared" si="0" ref="B5:K5">B6+B32+B43</f>
        <v>0</v>
      </c>
      <c r="C5" s="11">
        <f t="shared" si="0"/>
        <v>174426.07</v>
      </c>
      <c r="D5" s="11">
        <f t="shared" si="0"/>
        <v>30000</v>
      </c>
      <c r="E5" s="11">
        <f t="shared" si="0"/>
        <v>204426.07</v>
      </c>
      <c r="F5" s="40" t="e">
        <f aca="true" t="shared" si="1" ref="F5:F46">E5/B5</f>
        <v>#DIV/0!</v>
      </c>
      <c r="G5" s="11">
        <f t="shared" si="0"/>
        <v>239706.8</v>
      </c>
      <c r="H5" s="11">
        <f t="shared" si="0"/>
        <v>60289.2</v>
      </c>
      <c r="I5" s="11">
        <f t="shared" si="0"/>
        <v>56389.2</v>
      </c>
      <c r="J5" s="11">
        <f t="shared" si="0"/>
        <v>58889.2</v>
      </c>
      <c r="K5" s="11">
        <f t="shared" si="0"/>
        <v>64139.2</v>
      </c>
      <c r="L5" s="41">
        <f aca="true" t="shared" si="2" ref="L5:L46">G5/E5</f>
        <v>1.1725842990573558</v>
      </c>
      <c r="M5" s="5"/>
    </row>
    <row r="6" spans="1:13" ht="18" customHeight="1">
      <c r="A6" s="25" t="s">
        <v>633</v>
      </c>
      <c r="B6" s="11">
        <f aca="true" t="shared" si="3" ref="B6:K6">B7+B26+B27</f>
        <v>0</v>
      </c>
      <c r="C6" s="11">
        <f t="shared" si="3"/>
        <v>174426.07</v>
      </c>
      <c r="D6" s="11">
        <f t="shared" si="3"/>
        <v>30000</v>
      </c>
      <c r="E6" s="11">
        <f t="shared" si="3"/>
        <v>204426.07</v>
      </c>
      <c r="F6" s="40" t="e">
        <f t="shared" si="1"/>
        <v>#DIV/0!</v>
      </c>
      <c r="G6" s="11">
        <f t="shared" si="3"/>
        <v>238586.8</v>
      </c>
      <c r="H6" s="11">
        <f t="shared" si="3"/>
        <v>60009.2</v>
      </c>
      <c r="I6" s="11">
        <f t="shared" si="3"/>
        <v>56109.2</v>
      </c>
      <c r="J6" s="11">
        <f t="shared" si="3"/>
        <v>58609.2</v>
      </c>
      <c r="K6" s="11">
        <f t="shared" si="3"/>
        <v>63859.2</v>
      </c>
      <c r="L6" s="41">
        <f t="shared" si="2"/>
        <v>1.1671055457848403</v>
      </c>
      <c r="M6" s="5"/>
    </row>
    <row r="7" spans="1:13" ht="18" customHeight="1">
      <c r="A7" s="72" t="s">
        <v>634</v>
      </c>
      <c r="B7" s="11">
        <f aca="true" t="shared" si="4" ref="B7:K7">B8+B16+B20+B23+B24+B25</f>
        <v>0</v>
      </c>
      <c r="C7" s="11">
        <f t="shared" si="4"/>
        <v>73237.02</v>
      </c>
      <c r="D7" s="11">
        <f t="shared" si="4"/>
        <v>0</v>
      </c>
      <c r="E7" s="11">
        <f t="shared" si="4"/>
        <v>73237.02</v>
      </c>
      <c r="F7" s="40" t="e">
        <f t="shared" si="1"/>
        <v>#DIV/0!</v>
      </c>
      <c r="G7" s="11">
        <f t="shared" si="4"/>
        <v>100186.8</v>
      </c>
      <c r="H7" s="11">
        <f t="shared" si="4"/>
        <v>24359.2</v>
      </c>
      <c r="I7" s="11">
        <f t="shared" si="4"/>
        <v>25909.2</v>
      </c>
      <c r="J7" s="11">
        <f t="shared" si="4"/>
        <v>25259.2</v>
      </c>
      <c r="K7" s="11">
        <f t="shared" si="4"/>
        <v>24659.2</v>
      </c>
      <c r="L7" s="41">
        <f t="shared" si="2"/>
        <v>1.367980291934325</v>
      </c>
      <c r="M7" s="5"/>
    </row>
    <row r="8" spans="1:13" ht="18" customHeight="1">
      <c r="A8" s="72" t="s">
        <v>635</v>
      </c>
      <c r="B8" s="11">
        <f aca="true" t="shared" si="5" ref="B8:K8">B9+B10+B14+B15</f>
        <v>0</v>
      </c>
      <c r="C8" s="11">
        <f t="shared" si="5"/>
        <v>54422</v>
      </c>
      <c r="D8" s="11">
        <f t="shared" si="5"/>
        <v>0</v>
      </c>
      <c r="E8" s="11">
        <f t="shared" si="5"/>
        <v>54422</v>
      </c>
      <c r="F8" s="40" t="e">
        <f t="shared" si="1"/>
        <v>#DIV/0!</v>
      </c>
      <c r="G8" s="11">
        <f t="shared" si="5"/>
        <v>76948</v>
      </c>
      <c r="H8" s="11">
        <f t="shared" si="5"/>
        <v>18712</v>
      </c>
      <c r="I8" s="11">
        <f t="shared" si="5"/>
        <v>19612</v>
      </c>
      <c r="J8" s="11">
        <f t="shared" si="5"/>
        <v>19612</v>
      </c>
      <c r="K8" s="11">
        <f t="shared" si="5"/>
        <v>19012</v>
      </c>
      <c r="L8" s="41">
        <f t="shared" si="2"/>
        <v>1.4139134908676638</v>
      </c>
      <c r="M8" s="5"/>
    </row>
    <row r="9" spans="1:13" ht="18" customHeight="1">
      <c r="A9" s="72" t="s">
        <v>636</v>
      </c>
      <c r="B9" s="11">
        <f>'[4]13-2)营业成本预算表（公车服务项目)'!B9</f>
        <v>0</v>
      </c>
      <c r="C9" s="11">
        <f>'[4]13-2)营业成本预算表（公车服务项目)'!C9</f>
        <v>29518</v>
      </c>
      <c r="D9" s="11">
        <f>'[4]13-2)营业成本预算表（公车服务项目)'!D9</f>
        <v>0</v>
      </c>
      <c r="E9" s="11">
        <f aca="true" t="shared" si="6" ref="E9:E15">C9+D9</f>
        <v>29518</v>
      </c>
      <c r="F9" s="40" t="e">
        <f t="shared" si="1"/>
        <v>#DIV/0!</v>
      </c>
      <c r="G9" s="11">
        <f aca="true" t="shared" si="7" ref="G9:G15">SUM(H9:K9)</f>
        <v>42480</v>
      </c>
      <c r="H9" s="11">
        <f>'[4]13-2)营业成本预算表（公车服务项目)'!H9</f>
        <v>10620</v>
      </c>
      <c r="I9" s="11">
        <f>'[4]13-2)营业成本预算表（公车服务项目)'!I9</f>
        <v>10620</v>
      </c>
      <c r="J9" s="11">
        <f>'[4]13-2)营业成本预算表（公车服务项目)'!J9</f>
        <v>10620</v>
      </c>
      <c r="K9" s="11">
        <f>'[4]13-2)营业成本预算表（公车服务项目)'!K9</f>
        <v>10620</v>
      </c>
      <c r="L9" s="41">
        <f t="shared" si="2"/>
        <v>1.4391218917270818</v>
      </c>
      <c r="M9" s="5"/>
    </row>
    <row r="10" spans="1:13" ht="18" customHeight="1">
      <c r="A10" s="72" t="s">
        <v>637</v>
      </c>
      <c r="B10" s="11">
        <f aca="true" t="shared" si="8" ref="B10:K10">SUM(B11:B13)</f>
        <v>0</v>
      </c>
      <c r="C10" s="11">
        <f t="shared" si="8"/>
        <v>19660</v>
      </c>
      <c r="D10" s="11">
        <f t="shared" si="8"/>
        <v>0</v>
      </c>
      <c r="E10" s="11">
        <f t="shared" si="8"/>
        <v>19660</v>
      </c>
      <c r="F10" s="40" t="e">
        <f t="shared" si="1"/>
        <v>#DIV/0!</v>
      </c>
      <c r="G10" s="11">
        <f t="shared" si="8"/>
        <v>26800</v>
      </c>
      <c r="H10" s="11">
        <f t="shared" si="8"/>
        <v>6700</v>
      </c>
      <c r="I10" s="11">
        <f t="shared" si="8"/>
        <v>6700</v>
      </c>
      <c r="J10" s="11">
        <f t="shared" si="8"/>
        <v>6700</v>
      </c>
      <c r="K10" s="11">
        <f t="shared" si="8"/>
        <v>6700</v>
      </c>
      <c r="L10" s="41">
        <f t="shared" si="2"/>
        <v>1.363173957273652</v>
      </c>
      <c r="M10" s="5"/>
    </row>
    <row r="11" spans="1:13" ht="18" customHeight="1">
      <c r="A11" s="75" t="s">
        <v>638</v>
      </c>
      <c r="B11" s="11">
        <f>'[4]13-2)营业成本预算表（公车服务项目)'!B11</f>
        <v>0</v>
      </c>
      <c r="C11" s="11">
        <f>'[4]13-2)营业成本预算表（公车服务项目)'!C11</f>
        <v>0</v>
      </c>
      <c r="D11" s="11">
        <f>'[4]13-2)营业成本预算表（公车服务项目)'!D11</f>
        <v>0</v>
      </c>
      <c r="E11" s="11">
        <f t="shared" si="6"/>
        <v>0</v>
      </c>
      <c r="F11" s="40" t="e">
        <f t="shared" si="1"/>
        <v>#DIV/0!</v>
      </c>
      <c r="G11" s="11">
        <f t="shared" si="7"/>
        <v>0</v>
      </c>
      <c r="H11" s="11">
        <f>'[4]13-2)营业成本预算表（公车服务项目)'!H11</f>
        <v>0</v>
      </c>
      <c r="I11" s="11">
        <f>'[4]13-2)营业成本预算表（公车服务项目)'!I11</f>
        <v>0</v>
      </c>
      <c r="J11" s="11">
        <f>'[4]13-2)营业成本预算表（公车服务项目)'!J11</f>
        <v>0</v>
      </c>
      <c r="K11" s="11">
        <f>'[4]13-2)营业成本预算表（公车服务项目)'!K11</f>
        <v>0</v>
      </c>
      <c r="L11" s="41" t="e">
        <f t="shared" si="2"/>
        <v>#DIV/0!</v>
      </c>
      <c r="M11" s="5"/>
    </row>
    <row r="12" spans="1:13" ht="18" customHeight="1">
      <c r="A12" s="75" t="s">
        <v>639</v>
      </c>
      <c r="B12" s="11">
        <f>'[4]13-2)营业成本预算表（公车服务项目)'!B12</f>
        <v>0</v>
      </c>
      <c r="C12" s="11">
        <f>'[4]13-2)营业成本预算表（公车服务项目)'!C12</f>
        <v>3200</v>
      </c>
      <c r="D12" s="11">
        <f>'[4]13-2)营业成本预算表（公车服务项目)'!D12</f>
        <v>0</v>
      </c>
      <c r="E12" s="11">
        <f t="shared" si="6"/>
        <v>3200</v>
      </c>
      <c r="F12" s="40" t="e">
        <f t="shared" si="1"/>
        <v>#DIV/0!</v>
      </c>
      <c r="G12" s="11">
        <f t="shared" si="7"/>
        <v>10800</v>
      </c>
      <c r="H12" s="11">
        <f>'[4]13-2)营业成本预算表（公车服务项目)'!H12</f>
        <v>2700</v>
      </c>
      <c r="I12" s="11">
        <f>'[4]13-2)营业成本预算表（公车服务项目)'!I12</f>
        <v>2700</v>
      </c>
      <c r="J12" s="11">
        <f>'[4]13-2)营业成本预算表（公车服务项目)'!J12</f>
        <v>2700</v>
      </c>
      <c r="K12" s="11">
        <f>'[4]13-2)营业成本预算表（公车服务项目)'!K12</f>
        <v>2700</v>
      </c>
      <c r="L12" s="41">
        <f t="shared" si="2"/>
        <v>3.375</v>
      </c>
      <c r="M12" s="5"/>
    </row>
    <row r="13" spans="1:13" ht="18" customHeight="1">
      <c r="A13" s="75" t="s">
        <v>640</v>
      </c>
      <c r="B13" s="11">
        <f>'[4]13-2)营业成本预算表（公车服务项目)'!B13</f>
        <v>0</v>
      </c>
      <c r="C13" s="11">
        <f>'[4]13-2)营业成本预算表（公车服务项目)'!C13</f>
        <v>16460</v>
      </c>
      <c r="D13" s="11">
        <f>'[4]13-2)营业成本预算表（公车服务项目)'!D13</f>
        <v>0</v>
      </c>
      <c r="E13" s="11">
        <f t="shared" si="6"/>
        <v>16460</v>
      </c>
      <c r="F13" s="40" t="e">
        <f t="shared" si="1"/>
        <v>#DIV/0!</v>
      </c>
      <c r="G13" s="11">
        <f t="shared" si="7"/>
        <v>16000</v>
      </c>
      <c r="H13" s="11">
        <f>'[4]13-2)营业成本预算表（公车服务项目)'!H13</f>
        <v>4000</v>
      </c>
      <c r="I13" s="11">
        <f>'[4]13-2)营业成本预算表（公车服务项目)'!I13</f>
        <v>4000</v>
      </c>
      <c r="J13" s="11">
        <f>'[4]13-2)营业成本预算表（公车服务项目)'!J13</f>
        <v>4000</v>
      </c>
      <c r="K13" s="11">
        <f>'[4]13-2)营业成本预算表（公车服务项目)'!K13</f>
        <v>4000</v>
      </c>
      <c r="L13" s="41">
        <f t="shared" si="2"/>
        <v>0.9720534629404617</v>
      </c>
      <c r="M13" s="5"/>
    </row>
    <row r="14" spans="1:13" ht="18" customHeight="1">
      <c r="A14" s="72" t="s">
        <v>641</v>
      </c>
      <c r="B14" s="11">
        <f>'[4]13-2)营业成本预算表（公车服务项目)'!B14</f>
        <v>0</v>
      </c>
      <c r="C14" s="11">
        <f>'[4]13-2)营业成本预算表（公车服务项目)'!C14</f>
        <v>3964</v>
      </c>
      <c r="D14" s="11">
        <f>'[4]13-2)营业成本预算表（公车服务项目)'!D14</f>
        <v>0</v>
      </c>
      <c r="E14" s="11">
        <f t="shared" si="6"/>
        <v>3964</v>
      </c>
      <c r="F14" s="40" t="e">
        <f t="shared" si="1"/>
        <v>#DIV/0!</v>
      </c>
      <c r="G14" s="11">
        <f t="shared" si="7"/>
        <v>7668</v>
      </c>
      <c r="H14" s="11">
        <f>'[4]13-2)营业成本预算表（公车服务项目)'!H14</f>
        <v>1392</v>
      </c>
      <c r="I14" s="11">
        <f>'[4]13-2)营业成本预算表（公车服务项目)'!I14</f>
        <v>2292</v>
      </c>
      <c r="J14" s="11">
        <f>'[4]13-2)营业成本预算表（公车服务项目)'!J14</f>
        <v>2292</v>
      </c>
      <c r="K14" s="11">
        <f>'[4]13-2)营业成本预算表（公车服务项目)'!K14</f>
        <v>1692</v>
      </c>
      <c r="L14" s="41">
        <f t="shared" si="2"/>
        <v>1.9344096871846619</v>
      </c>
      <c r="M14" s="5"/>
    </row>
    <row r="15" spans="1:13" ht="18" customHeight="1">
      <c r="A15" s="72" t="s">
        <v>642</v>
      </c>
      <c r="B15" s="11">
        <f>'[4]13-2)营业成本预算表（公车服务项目)'!B15</f>
        <v>0</v>
      </c>
      <c r="C15" s="11">
        <f>'[4]13-2)营业成本预算表（公车服务项目)'!C15</f>
        <v>1280</v>
      </c>
      <c r="D15" s="11">
        <f>'[4]13-2)营业成本预算表（公车服务项目)'!D15</f>
        <v>0</v>
      </c>
      <c r="E15" s="11">
        <f t="shared" si="6"/>
        <v>1280</v>
      </c>
      <c r="F15" s="40" t="e">
        <f t="shared" si="1"/>
        <v>#DIV/0!</v>
      </c>
      <c r="G15" s="11">
        <f t="shared" si="7"/>
        <v>0</v>
      </c>
      <c r="H15" s="11">
        <f>'[4]13-2)营业成本预算表（公车服务项目)'!H15</f>
        <v>0</v>
      </c>
      <c r="I15" s="11">
        <f>'[4]13-2)营业成本预算表（公车服务项目)'!I15</f>
        <v>0</v>
      </c>
      <c r="J15" s="11">
        <f>'[4]13-2)营业成本预算表（公车服务项目)'!J15</f>
        <v>0</v>
      </c>
      <c r="K15" s="11">
        <f>'[4]13-2)营业成本预算表（公车服务项目)'!K15</f>
        <v>0</v>
      </c>
      <c r="L15" s="41">
        <f t="shared" si="2"/>
        <v>0</v>
      </c>
      <c r="M15" s="5"/>
    </row>
    <row r="16" spans="1:13" ht="18" customHeight="1">
      <c r="A16" s="72" t="s">
        <v>643</v>
      </c>
      <c r="B16" s="11">
        <f aca="true" t="shared" si="9" ref="B16:K16">SUM(B17:B19)</f>
        <v>0</v>
      </c>
      <c r="C16" s="11">
        <f t="shared" si="9"/>
        <v>2972</v>
      </c>
      <c r="D16" s="11">
        <f t="shared" si="9"/>
        <v>0</v>
      </c>
      <c r="E16" s="11">
        <f t="shared" si="9"/>
        <v>2972</v>
      </c>
      <c r="F16" s="40" t="e">
        <f t="shared" si="1"/>
        <v>#DIV/0!</v>
      </c>
      <c r="G16" s="11">
        <f t="shared" si="9"/>
        <v>650</v>
      </c>
      <c r="H16" s="11">
        <f t="shared" si="9"/>
        <v>0</v>
      </c>
      <c r="I16" s="11">
        <f t="shared" si="9"/>
        <v>650</v>
      </c>
      <c r="J16" s="11">
        <f t="shared" si="9"/>
        <v>0</v>
      </c>
      <c r="K16" s="11">
        <f t="shared" si="9"/>
        <v>0</v>
      </c>
      <c r="L16" s="41">
        <f t="shared" si="2"/>
        <v>0.21870794078061911</v>
      </c>
      <c r="M16" s="5"/>
    </row>
    <row r="17" spans="1:13" ht="18" customHeight="1">
      <c r="A17" s="72" t="s">
        <v>644</v>
      </c>
      <c r="B17" s="11">
        <f>'[4]13-2)营业成本预算表（公车服务项目)'!B17</f>
        <v>0</v>
      </c>
      <c r="C17" s="11">
        <f>'[4]13-2)营业成本预算表（公车服务项目)'!C17</f>
        <v>2376</v>
      </c>
      <c r="D17" s="11">
        <f>'[4]13-2)营业成本预算表（公车服务项目)'!D17</f>
        <v>0</v>
      </c>
      <c r="E17" s="11">
        <f aca="true" t="shared" si="10" ref="E17:E19">C17+D17</f>
        <v>2376</v>
      </c>
      <c r="F17" s="40" t="e">
        <f t="shared" si="1"/>
        <v>#DIV/0!</v>
      </c>
      <c r="G17" s="11">
        <f aca="true" t="shared" si="11" ref="G17:G19">SUM(H17:K17)</f>
        <v>0</v>
      </c>
      <c r="H17" s="11">
        <f>'[4]13-2)营业成本预算表（公车服务项目)'!H17</f>
        <v>0</v>
      </c>
      <c r="I17" s="11">
        <f>'[4]13-2)营业成本预算表（公车服务项目)'!I17</f>
        <v>0</v>
      </c>
      <c r="J17" s="11">
        <f>'[4]13-2)营业成本预算表（公车服务项目)'!J17</f>
        <v>0</v>
      </c>
      <c r="K17" s="11">
        <f>'[4]13-2)营业成本预算表（公车服务项目)'!K17</f>
        <v>0</v>
      </c>
      <c r="L17" s="41">
        <f t="shared" si="2"/>
        <v>0</v>
      </c>
      <c r="M17" s="5"/>
    </row>
    <row r="18" spans="1:13" ht="18" customHeight="1">
      <c r="A18" s="72" t="s">
        <v>645</v>
      </c>
      <c r="B18" s="11">
        <f>'[4]13-2)营业成本预算表（公车服务项目)'!B18</f>
        <v>0</v>
      </c>
      <c r="C18" s="11">
        <f>'[4]13-2)营业成本预算表（公车服务项目)'!C18</f>
        <v>0</v>
      </c>
      <c r="D18" s="11">
        <f>'[4]13-2)营业成本预算表（公车服务项目)'!D18</f>
        <v>0</v>
      </c>
      <c r="E18" s="11">
        <f t="shared" si="10"/>
        <v>0</v>
      </c>
      <c r="F18" s="40" t="e">
        <f t="shared" si="1"/>
        <v>#DIV/0!</v>
      </c>
      <c r="G18" s="11">
        <f t="shared" si="11"/>
        <v>650</v>
      </c>
      <c r="H18" s="11">
        <f>'[4]13-2)营业成本预算表（公车服务项目)'!H18</f>
        <v>0</v>
      </c>
      <c r="I18" s="11">
        <f>'[4]13-2)营业成本预算表（公车服务项目)'!I18</f>
        <v>650</v>
      </c>
      <c r="J18" s="11">
        <f>'[4]13-2)营业成本预算表（公车服务项目)'!J18</f>
        <v>0</v>
      </c>
      <c r="K18" s="11">
        <f>'[4]13-2)营业成本预算表（公车服务项目)'!K18</f>
        <v>0</v>
      </c>
      <c r="L18" s="41" t="e">
        <f t="shared" si="2"/>
        <v>#DIV/0!</v>
      </c>
      <c r="M18" s="5"/>
    </row>
    <row r="19" spans="1:13" ht="18" customHeight="1">
      <c r="A19" s="72" t="s">
        <v>646</v>
      </c>
      <c r="B19" s="11">
        <f>'[4]13-2)营业成本预算表（公车服务项目)'!B19</f>
        <v>0</v>
      </c>
      <c r="C19" s="11">
        <f>'[4]13-2)营业成本预算表（公车服务项目)'!C19</f>
        <v>596</v>
      </c>
      <c r="D19" s="11">
        <f>'[4]13-2)营业成本预算表（公车服务项目)'!D19</f>
        <v>0</v>
      </c>
      <c r="E19" s="11">
        <f t="shared" si="10"/>
        <v>596</v>
      </c>
      <c r="F19" s="40" t="e">
        <f t="shared" si="1"/>
        <v>#DIV/0!</v>
      </c>
      <c r="G19" s="11">
        <f t="shared" si="11"/>
        <v>0</v>
      </c>
      <c r="H19" s="11">
        <f>'[4]13-2)营业成本预算表（公车服务项目)'!H19</f>
        <v>0</v>
      </c>
      <c r="I19" s="11">
        <f>'[4]13-2)营业成本预算表（公车服务项目)'!I19</f>
        <v>0</v>
      </c>
      <c r="J19" s="11">
        <f>'[4]13-2)营业成本预算表（公车服务项目)'!J19</f>
        <v>0</v>
      </c>
      <c r="K19" s="11">
        <f>'[4]13-2)营业成本预算表（公车服务项目)'!K19</f>
        <v>0</v>
      </c>
      <c r="L19" s="41">
        <f t="shared" si="2"/>
        <v>0</v>
      </c>
      <c r="M19" s="5"/>
    </row>
    <row r="20" spans="1:13" ht="18" customHeight="1">
      <c r="A20" s="72" t="s">
        <v>647</v>
      </c>
      <c r="B20" s="11">
        <f aca="true" t="shared" si="12" ref="B20:K20">SUM(B21:B22)</f>
        <v>0</v>
      </c>
      <c r="C20" s="11">
        <f t="shared" si="12"/>
        <v>10793.02</v>
      </c>
      <c r="D20" s="11">
        <f t="shared" si="12"/>
        <v>0</v>
      </c>
      <c r="E20" s="11">
        <f t="shared" si="12"/>
        <v>10793.02</v>
      </c>
      <c r="F20" s="40" t="e">
        <f t="shared" si="1"/>
        <v>#DIV/0!</v>
      </c>
      <c r="G20" s="11">
        <f t="shared" si="12"/>
        <v>15316.800000000001</v>
      </c>
      <c r="H20" s="11">
        <f t="shared" si="12"/>
        <v>3829.2000000000003</v>
      </c>
      <c r="I20" s="11">
        <f t="shared" si="12"/>
        <v>3829.2000000000003</v>
      </c>
      <c r="J20" s="11">
        <f t="shared" si="12"/>
        <v>3829.2000000000003</v>
      </c>
      <c r="K20" s="11">
        <f t="shared" si="12"/>
        <v>3829.2000000000003</v>
      </c>
      <c r="L20" s="41">
        <f t="shared" si="2"/>
        <v>1.4191394067647425</v>
      </c>
      <c r="M20" s="5"/>
    </row>
    <row r="21" spans="1:13" ht="18" customHeight="1">
      <c r="A21" s="72" t="s">
        <v>648</v>
      </c>
      <c r="B21" s="11">
        <f>'[4]13-2)营业成本预算表（公车服务项目)'!B21</f>
        <v>0</v>
      </c>
      <c r="C21" s="11">
        <f>'[4]13-2)营业成本预算表（公车服务项目)'!C21</f>
        <v>10793.02</v>
      </c>
      <c r="D21" s="11">
        <f>'[4]13-2)营业成本预算表（公车服务项目)'!D21</f>
        <v>0</v>
      </c>
      <c r="E21" s="11">
        <f aca="true" t="shared" si="13" ref="E21:E26">C21+D21</f>
        <v>10793.02</v>
      </c>
      <c r="F21" s="40" t="e">
        <f t="shared" si="1"/>
        <v>#DIV/0!</v>
      </c>
      <c r="G21" s="11">
        <f aca="true" t="shared" si="14" ref="G21:G26">SUM(H21:K21)</f>
        <v>15316.800000000001</v>
      </c>
      <c r="H21" s="11">
        <f>'[4]13-2)营业成本预算表（公车服务项目)'!H21</f>
        <v>3829.2000000000003</v>
      </c>
      <c r="I21" s="11">
        <f>'[4]13-2)营业成本预算表（公车服务项目)'!I21</f>
        <v>3829.2000000000003</v>
      </c>
      <c r="J21" s="11">
        <f>'[4]13-2)营业成本预算表（公车服务项目)'!J21</f>
        <v>3829.2000000000003</v>
      </c>
      <c r="K21" s="11">
        <f>'[4]13-2)营业成本预算表（公车服务项目)'!K21</f>
        <v>3829.2000000000003</v>
      </c>
      <c r="L21" s="41">
        <f t="shared" si="2"/>
        <v>1.4191394067647425</v>
      </c>
      <c r="M21" s="5"/>
    </row>
    <row r="22" spans="1:13" ht="18" customHeight="1">
      <c r="A22" s="72" t="s">
        <v>649</v>
      </c>
      <c r="B22" s="11">
        <f>'[4]13-2)营业成本预算表（公车服务项目)'!B22</f>
        <v>0</v>
      </c>
      <c r="C22" s="11">
        <f>'[4]13-2)营业成本预算表（公车服务项目)'!C22</f>
        <v>0</v>
      </c>
      <c r="D22" s="11">
        <f>'[4]13-2)营业成本预算表（公车服务项目)'!D22</f>
        <v>0</v>
      </c>
      <c r="E22" s="11">
        <f t="shared" si="13"/>
        <v>0</v>
      </c>
      <c r="F22" s="40" t="e">
        <f t="shared" si="1"/>
        <v>#DIV/0!</v>
      </c>
      <c r="G22" s="11">
        <f t="shared" si="14"/>
        <v>0</v>
      </c>
      <c r="H22" s="11">
        <f>'[4]13-2)营业成本预算表（公车服务项目)'!H22</f>
        <v>0</v>
      </c>
      <c r="I22" s="11">
        <f>'[4]13-2)营业成本预算表（公车服务项目)'!I22</f>
        <v>0</v>
      </c>
      <c r="J22" s="11">
        <f>'[4]13-2)营业成本预算表（公车服务项目)'!J22</f>
        <v>0</v>
      </c>
      <c r="K22" s="11">
        <f>'[4]13-2)营业成本预算表（公车服务项目)'!K22</f>
        <v>0</v>
      </c>
      <c r="L22" s="41" t="e">
        <f t="shared" si="2"/>
        <v>#DIV/0!</v>
      </c>
      <c r="M22" s="5"/>
    </row>
    <row r="23" spans="1:13" ht="18" customHeight="1">
      <c r="A23" s="72" t="s">
        <v>650</v>
      </c>
      <c r="B23" s="11">
        <f>'[4]13-2)营业成本预算表（公车服务项目)'!B23</f>
        <v>0</v>
      </c>
      <c r="C23" s="11">
        <f>'[4]13-2)营业成本预算表（公车服务项目)'!C23</f>
        <v>5050</v>
      </c>
      <c r="D23" s="11">
        <f>'[4]13-2)营业成本预算表（公车服务项目)'!D23</f>
        <v>0</v>
      </c>
      <c r="E23" s="11">
        <f t="shared" si="13"/>
        <v>5050</v>
      </c>
      <c r="F23" s="40" t="e">
        <f t="shared" si="1"/>
        <v>#DIV/0!</v>
      </c>
      <c r="G23" s="11">
        <f t="shared" si="14"/>
        <v>7272</v>
      </c>
      <c r="H23" s="11">
        <f>'[4]13-2)营业成本预算表（公车服务项目)'!H23</f>
        <v>1818</v>
      </c>
      <c r="I23" s="11">
        <f>'[4]13-2)营业成本预算表（公车服务项目)'!I23</f>
        <v>1818</v>
      </c>
      <c r="J23" s="11">
        <f>'[4]13-2)营业成本预算表（公车服务项目)'!J23</f>
        <v>1818</v>
      </c>
      <c r="K23" s="11">
        <f>'[4]13-2)营业成本预算表（公车服务项目)'!K23</f>
        <v>1818</v>
      </c>
      <c r="L23" s="41">
        <f t="shared" si="2"/>
        <v>1.44</v>
      </c>
      <c r="M23" s="5"/>
    </row>
    <row r="24" spans="1:13" ht="18" customHeight="1">
      <c r="A24" s="72" t="s">
        <v>651</v>
      </c>
      <c r="B24" s="11">
        <f>'[4]13-2)营业成本预算表（公车服务项目)'!B24</f>
        <v>0</v>
      </c>
      <c r="C24" s="11">
        <f>'[4]13-2)营业成本预算表（公车服务项目)'!C24</f>
        <v>0</v>
      </c>
      <c r="D24" s="11">
        <f>'[4]13-2)营业成本预算表（公车服务项目)'!D24</f>
        <v>0</v>
      </c>
      <c r="E24" s="11">
        <f t="shared" si="13"/>
        <v>0</v>
      </c>
      <c r="F24" s="40" t="e">
        <f t="shared" si="1"/>
        <v>#DIV/0!</v>
      </c>
      <c r="G24" s="11">
        <f t="shared" si="14"/>
        <v>0</v>
      </c>
      <c r="H24" s="11">
        <f>'[4]13-2)营业成本预算表（公车服务项目)'!H24</f>
        <v>0</v>
      </c>
      <c r="I24" s="11">
        <f>'[4]13-2)营业成本预算表（公车服务项目)'!I24</f>
        <v>0</v>
      </c>
      <c r="J24" s="11">
        <f>'[4]13-2)营业成本预算表（公车服务项目)'!J24</f>
        <v>0</v>
      </c>
      <c r="K24" s="11">
        <f>'[4]13-2)营业成本预算表（公车服务项目)'!K24</f>
        <v>0</v>
      </c>
      <c r="L24" s="41" t="e">
        <f t="shared" si="2"/>
        <v>#DIV/0!</v>
      </c>
      <c r="M24" s="5"/>
    </row>
    <row r="25" spans="1:13" ht="18" customHeight="1">
      <c r="A25" s="72" t="s">
        <v>652</v>
      </c>
      <c r="B25" s="11">
        <f>'[4]13-2)营业成本预算表（公车服务项目)'!B25</f>
        <v>0</v>
      </c>
      <c r="C25" s="11">
        <f>'[4]13-2)营业成本预算表（公车服务项目)'!C25</f>
        <v>0</v>
      </c>
      <c r="D25" s="11">
        <f>'[4]13-2)营业成本预算表（公车服务项目)'!D25</f>
        <v>0</v>
      </c>
      <c r="E25" s="11">
        <f t="shared" si="13"/>
        <v>0</v>
      </c>
      <c r="F25" s="40" t="e">
        <f t="shared" si="1"/>
        <v>#DIV/0!</v>
      </c>
      <c r="G25" s="11">
        <f t="shared" si="14"/>
        <v>0</v>
      </c>
      <c r="H25" s="11">
        <f>'[4]13-2)营业成本预算表（公车服务项目)'!H25</f>
        <v>0</v>
      </c>
      <c r="I25" s="11">
        <f>'[4]13-2)营业成本预算表（公车服务项目)'!I25</f>
        <v>0</v>
      </c>
      <c r="J25" s="11">
        <f>'[4]13-2)营业成本预算表（公车服务项目)'!J25</f>
        <v>0</v>
      </c>
      <c r="K25" s="11">
        <f>'[4]13-2)营业成本预算表（公车服务项目)'!K25</f>
        <v>0</v>
      </c>
      <c r="L25" s="41" t="e">
        <f t="shared" si="2"/>
        <v>#DIV/0!</v>
      </c>
      <c r="M25" s="5"/>
    </row>
    <row r="26" spans="1:13" ht="18" customHeight="1">
      <c r="A26" s="108" t="s">
        <v>653</v>
      </c>
      <c r="B26" s="11">
        <f>'[4]13-2)营业成本预算表（公车服务项目)'!B26</f>
        <v>0</v>
      </c>
      <c r="C26" s="11">
        <f>'[4]13-2)营业成本预算表（公车服务项目)'!C26</f>
        <v>0</v>
      </c>
      <c r="D26" s="11">
        <f>'[4]13-2)营业成本预算表（公车服务项目)'!D26</f>
        <v>0</v>
      </c>
      <c r="E26" s="11">
        <f t="shared" si="13"/>
        <v>0</v>
      </c>
      <c r="F26" s="40" t="e">
        <f t="shared" si="1"/>
        <v>#DIV/0!</v>
      </c>
      <c r="G26" s="11">
        <f t="shared" si="14"/>
        <v>0</v>
      </c>
      <c r="H26" s="11">
        <f>'[4]13-2)营业成本预算表（公车服务项目)'!H26</f>
        <v>0</v>
      </c>
      <c r="I26" s="11">
        <f>'[4]13-2)营业成本预算表（公车服务项目)'!I26</f>
        <v>0</v>
      </c>
      <c r="J26" s="11">
        <f>'[4]13-2)营业成本预算表（公车服务项目)'!J26</f>
        <v>0</v>
      </c>
      <c r="K26" s="11">
        <f>'[4]13-2)营业成本预算表（公车服务项目)'!K26</f>
        <v>0</v>
      </c>
      <c r="L26" s="41" t="e">
        <f t="shared" si="2"/>
        <v>#DIV/0!</v>
      </c>
      <c r="M26" s="5"/>
    </row>
    <row r="27" spans="1:13" ht="18" customHeight="1">
      <c r="A27" s="108" t="s">
        <v>698</v>
      </c>
      <c r="B27" s="11">
        <f aca="true" t="shared" si="15" ref="B27:K27">SUM(B28:B31)</f>
        <v>0</v>
      </c>
      <c r="C27" s="11">
        <f t="shared" si="15"/>
        <v>101189.05</v>
      </c>
      <c r="D27" s="11">
        <f t="shared" si="15"/>
        <v>30000</v>
      </c>
      <c r="E27" s="11">
        <f t="shared" si="15"/>
        <v>131189.05</v>
      </c>
      <c r="F27" s="40" t="e">
        <f t="shared" si="1"/>
        <v>#DIV/0!</v>
      </c>
      <c r="G27" s="11">
        <f t="shared" si="15"/>
        <v>138400</v>
      </c>
      <c r="H27" s="11">
        <f t="shared" si="15"/>
        <v>35650</v>
      </c>
      <c r="I27" s="11">
        <f t="shared" si="15"/>
        <v>30200</v>
      </c>
      <c r="J27" s="11">
        <f t="shared" si="15"/>
        <v>33350</v>
      </c>
      <c r="K27" s="11">
        <f t="shared" si="15"/>
        <v>39200</v>
      </c>
      <c r="L27" s="41">
        <f t="shared" si="2"/>
        <v>1.0549660966368763</v>
      </c>
      <c r="M27" s="5"/>
    </row>
    <row r="28" spans="1:13" ht="18" customHeight="1">
      <c r="A28" s="108" t="s">
        <v>701</v>
      </c>
      <c r="B28" s="11">
        <f>'[4]13-2)营业成本预算表（公车服务项目)'!B28</f>
        <v>0</v>
      </c>
      <c r="C28" s="11">
        <f>'[4]13-2)营业成本预算表（公车服务项目)'!C28</f>
        <v>42228.8</v>
      </c>
      <c r="D28" s="11">
        <f>'[4]13-2)营业成本预算表（公车服务项目)'!D28</f>
        <v>20000</v>
      </c>
      <c r="E28" s="11">
        <f aca="true" t="shared" si="16" ref="E28:E31">C28+D28</f>
        <v>62228.8</v>
      </c>
      <c r="F28" s="40" t="e">
        <f t="shared" si="1"/>
        <v>#DIV/0!</v>
      </c>
      <c r="G28" s="11">
        <f aca="true" t="shared" si="17" ref="G28:G31">SUM(H28:K28)</f>
        <v>90000</v>
      </c>
      <c r="H28" s="11">
        <f>'[4]13-2)营业成本预算表（公车服务项目)'!H28</f>
        <v>22500</v>
      </c>
      <c r="I28" s="11">
        <f>'[4]13-2)营业成本预算表（公车服务项目)'!I28</f>
        <v>22500</v>
      </c>
      <c r="J28" s="11">
        <f>'[4]13-2)营业成本预算表（公车服务项目)'!J28</f>
        <v>22500</v>
      </c>
      <c r="K28" s="11">
        <f>'[4]13-2)营业成本预算表（公车服务项目)'!K28</f>
        <v>22500</v>
      </c>
      <c r="L28" s="41">
        <f t="shared" si="2"/>
        <v>1.4462756794281746</v>
      </c>
      <c r="M28" s="5"/>
    </row>
    <row r="29" spans="1:13" ht="18" customHeight="1">
      <c r="A29" s="108" t="s">
        <v>702</v>
      </c>
      <c r="B29" s="11">
        <f>'[4]13-2)营业成本预算表（公车服务项目)'!B29</f>
        <v>0</v>
      </c>
      <c r="C29" s="11">
        <f>'[4]13-2)营业成本预算表（公车服务项目)'!C29</f>
        <v>41270.11</v>
      </c>
      <c r="D29" s="11">
        <f>'[4]13-2)营业成本预算表（公车服务项目)'!D29</f>
        <v>2000</v>
      </c>
      <c r="E29" s="11">
        <f t="shared" si="16"/>
        <v>43270.11</v>
      </c>
      <c r="F29" s="40" t="e">
        <f t="shared" si="1"/>
        <v>#DIV/0!</v>
      </c>
      <c r="G29" s="11">
        <f t="shared" si="17"/>
        <v>15000</v>
      </c>
      <c r="H29" s="11">
        <f>'[4]13-2)营业成本预算表（公车服务项目)'!H29</f>
        <v>3000</v>
      </c>
      <c r="I29" s="11">
        <f>'[4]13-2)营业成本预算表（公车服务项目)'!I29</f>
        <v>0</v>
      </c>
      <c r="J29" s="11">
        <f>'[4]13-2)营业成本预算表（公车服务项目)'!J29</f>
        <v>3000</v>
      </c>
      <c r="K29" s="11">
        <f>'[4]13-2)营业成本预算表（公车服务项目)'!K29</f>
        <v>9000</v>
      </c>
      <c r="L29" s="41">
        <f t="shared" si="2"/>
        <v>0.3466596225431366</v>
      </c>
      <c r="M29" s="5"/>
    </row>
    <row r="30" spans="1:13" ht="18" customHeight="1">
      <c r="A30" s="108" t="s">
        <v>703</v>
      </c>
      <c r="B30" s="11">
        <f>'[4]13-2)营业成本预算表（公车服务项目)'!B30</f>
        <v>0</v>
      </c>
      <c r="C30" s="11">
        <f>'[4]13-2)营业成本预算表（公车服务项目)'!C30</f>
        <v>15490.14</v>
      </c>
      <c r="D30" s="11">
        <f>'[4]13-2)营业成本预算表（公车服务项目)'!D30</f>
        <v>5000</v>
      </c>
      <c r="E30" s="11">
        <f t="shared" si="16"/>
        <v>20490.14</v>
      </c>
      <c r="F30" s="40" t="e">
        <f t="shared" si="1"/>
        <v>#DIV/0!</v>
      </c>
      <c r="G30" s="11">
        <f t="shared" si="17"/>
        <v>20000</v>
      </c>
      <c r="H30" s="11">
        <f>'[4]13-2)营业成本预算表（公车服务项目)'!H30</f>
        <v>5000</v>
      </c>
      <c r="I30" s="11">
        <f>'[4]13-2)营业成本预算表（公车服务项目)'!I30</f>
        <v>5000</v>
      </c>
      <c r="J30" s="11">
        <f>'[4]13-2)营业成本预算表（公车服务项目)'!J30</f>
        <v>5000</v>
      </c>
      <c r="K30" s="11">
        <f>'[4]13-2)营业成本预算表（公车服务项目)'!K30</f>
        <v>5000</v>
      </c>
      <c r="L30" s="41">
        <f t="shared" si="2"/>
        <v>0.9760792263986483</v>
      </c>
      <c r="M30" s="5"/>
    </row>
    <row r="31" spans="1:13" ht="18" customHeight="1">
      <c r="A31" s="108" t="s">
        <v>658</v>
      </c>
      <c r="B31" s="11">
        <f>'[4]13-2)营业成本预算表（公车服务项目)'!B31</f>
        <v>0</v>
      </c>
      <c r="C31" s="11">
        <f>'[4]13-2)营业成本预算表（公车服务项目)'!C31</f>
        <v>2200</v>
      </c>
      <c r="D31" s="11">
        <f>'[4]13-2)营业成本预算表（公车服务项目)'!D31</f>
        <v>3000</v>
      </c>
      <c r="E31" s="11">
        <f t="shared" si="16"/>
        <v>5200</v>
      </c>
      <c r="F31" s="40" t="e">
        <f t="shared" si="1"/>
        <v>#DIV/0!</v>
      </c>
      <c r="G31" s="11">
        <f t="shared" si="17"/>
        <v>13400</v>
      </c>
      <c r="H31" s="11">
        <f>'[4]13-2)营业成本预算表（公车服务项目)'!H31</f>
        <v>5150</v>
      </c>
      <c r="I31" s="11">
        <f>'[4]13-2)营业成本预算表（公车服务项目)'!I31</f>
        <v>2700</v>
      </c>
      <c r="J31" s="11">
        <f>'[4]13-2)营业成本预算表（公车服务项目)'!J31</f>
        <v>2850</v>
      </c>
      <c r="K31" s="11">
        <f>'[4]13-2)营业成本预算表（公车服务项目)'!K31</f>
        <v>2700</v>
      </c>
      <c r="L31" s="41">
        <f t="shared" si="2"/>
        <v>2.576923076923077</v>
      </c>
      <c r="M31" s="5"/>
    </row>
    <row r="32" spans="1:13" ht="18" customHeight="1">
      <c r="A32" s="25" t="s">
        <v>659</v>
      </c>
      <c r="B32" s="26">
        <f aca="true" t="shared" si="18" ref="B32:K32">SUM(B33:B42)</f>
        <v>0</v>
      </c>
      <c r="C32" s="26">
        <f t="shared" si="18"/>
        <v>0</v>
      </c>
      <c r="D32" s="26">
        <f t="shared" si="18"/>
        <v>0</v>
      </c>
      <c r="E32" s="26">
        <f t="shared" si="18"/>
        <v>0</v>
      </c>
      <c r="F32" s="40" t="e">
        <f t="shared" si="1"/>
        <v>#DIV/0!</v>
      </c>
      <c r="G32" s="26">
        <f t="shared" si="18"/>
        <v>1120</v>
      </c>
      <c r="H32" s="26">
        <f t="shared" si="18"/>
        <v>280</v>
      </c>
      <c r="I32" s="26">
        <f t="shared" si="18"/>
        <v>280</v>
      </c>
      <c r="J32" s="26">
        <f t="shared" si="18"/>
        <v>280</v>
      </c>
      <c r="K32" s="26">
        <f t="shared" si="18"/>
        <v>280</v>
      </c>
      <c r="L32" s="41" t="e">
        <f t="shared" si="2"/>
        <v>#DIV/0!</v>
      </c>
      <c r="M32" s="5"/>
    </row>
    <row r="33" spans="1:13" ht="18" customHeight="1">
      <c r="A33" s="25" t="s">
        <v>660</v>
      </c>
      <c r="B33" s="11">
        <f>'[4]13-2)营业成本预算表（公车服务项目)'!B33</f>
        <v>0</v>
      </c>
      <c r="C33" s="11">
        <f>'[4]13-2)营业成本预算表（公车服务项目)'!C33</f>
        <v>0</v>
      </c>
      <c r="D33" s="11">
        <f>'[4]13-2)营业成本预算表（公车服务项目)'!D33</f>
        <v>0</v>
      </c>
      <c r="E33" s="11">
        <f aca="true" t="shared" si="19" ref="E33:E42">C33+D33</f>
        <v>0</v>
      </c>
      <c r="F33" s="40" t="e">
        <f t="shared" si="1"/>
        <v>#DIV/0!</v>
      </c>
      <c r="G33" s="11">
        <f aca="true" t="shared" si="20" ref="G33:G42">SUM(H33:K33)</f>
        <v>0</v>
      </c>
      <c r="H33" s="11">
        <f>'[4]13-2)营业成本预算表（公车服务项目)'!H33</f>
        <v>0</v>
      </c>
      <c r="I33" s="11">
        <f>'[4]13-2)营业成本预算表（公车服务项目)'!I33</f>
        <v>0</v>
      </c>
      <c r="J33" s="11">
        <f>'[4]13-2)营业成本预算表（公车服务项目)'!J33</f>
        <v>0</v>
      </c>
      <c r="K33" s="11">
        <f>'[4]13-2)营业成本预算表（公车服务项目)'!K33</f>
        <v>0</v>
      </c>
      <c r="L33" s="41" t="e">
        <f t="shared" si="2"/>
        <v>#DIV/0!</v>
      </c>
      <c r="M33" s="5"/>
    </row>
    <row r="34" spans="1:13" ht="18" customHeight="1">
      <c r="A34" s="25" t="s">
        <v>661</v>
      </c>
      <c r="B34" s="11">
        <f>'[4]13-2)营业成本预算表（公车服务项目)'!B34</f>
        <v>0</v>
      </c>
      <c r="C34" s="11">
        <f>'[4]13-2)营业成本预算表（公车服务项目)'!C34</f>
        <v>0</v>
      </c>
      <c r="D34" s="11">
        <f>'[4]13-2)营业成本预算表（公车服务项目)'!D34</f>
        <v>0</v>
      </c>
      <c r="E34" s="11">
        <f t="shared" si="19"/>
        <v>0</v>
      </c>
      <c r="F34" s="40" t="e">
        <f t="shared" si="1"/>
        <v>#DIV/0!</v>
      </c>
      <c r="G34" s="11">
        <f t="shared" si="20"/>
        <v>1120</v>
      </c>
      <c r="H34" s="11">
        <f>'[4]13-2)营业成本预算表（公车服务项目)'!H34</f>
        <v>280</v>
      </c>
      <c r="I34" s="11">
        <f>'[4]13-2)营业成本预算表（公车服务项目)'!I34</f>
        <v>280</v>
      </c>
      <c r="J34" s="11">
        <f>'[4]13-2)营业成本预算表（公车服务项目)'!J34</f>
        <v>280</v>
      </c>
      <c r="K34" s="11">
        <f>'[4]13-2)营业成本预算表（公车服务项目)'!K34</f>
        <v>280</v>
      </c>
      <c r="L34" s="41" t="e">
        <f t="shared" si="2"/>
        <v>#DIV/0!</v>
      </c>
      <c r="M34" s="5"/>
    </row>
    <row r="35" spans="1:13" ht="18" customHeight="1">
      <c r="A35" s="25" t="s">
        <v>662</v>
      </c>
      <c r="B35" s="11">
        <f>'[4]13-2)营业成本预算表（公车服务项目)'!B35</f>
        <v>0</v>
      </c>
      <c r="C35" s="11">
        <f>'[4]13-2)营业成本预算表（公车服务项目)'!C35</f>
        <v>0</v>
      </c>
      <c r="D35" s="11">
        <f>'[4]13-2)营业成本预算表（公车服务项目)'!D35</f>
        <v>0</v>
      </c>
      <c r="E35" s="11">
        <f t="shared" si="19"/>
        <v>0</v>
      </c>
      <c r="F35" s="40" t="e">
        <f t="shared" si="1"/>
        <v>#DIV/0!</v>
      </c>
      <c r="G35" s="11">
        <f t="shared" si="20"/>
        <v>0</v>
      </c>
      <c r="H35" s="11">
        <f>'[4]13-2)营业成本预算表（公车服务项目)'!H35</f>
        <v>0</v>
      </c>
      <c r="I35" s="11">
        <f>'[4]13-2)营业成本预算表（公车服务项目)'!I35</f>
        <v>0</v>
      </c>
      <c r="J35" s="11">
        <f>'[4]13-2)营业成本预算表（公车服务项目)'!J35</f>
        <v>0</v>
      </c>
      <c r="K35" s="11">
        <f>'[4]13-2)营业成本预算表（公车服务项目)'!K35</f>
        <v>0</v>
      </c>
      <c r="L35" s="41" t="e">
        <f t="shared" si="2"/>
        <v>#DIV/0!</v>
      </c>
      <c r="M35" s="5"/>
    </row>
    <row r="36" spans="1:13" ht="18" customHeight="1">
      <c r="A36" s="25" t="s">
        <v>663</v>
      </c>
      <c r="B36" s="11">
        <f>'[4]13-2)营业成本预算表（公车服务项目)'!B36</f>
        <v>0</v>
      </c>
      <c r="C36" s="11">
        <f>'[4]13-2)营业成本预算表（公车服务项目)'!C36</f>
        <v>0</v>
      </c>
      <c r="D36" s="11">
        <f>'[4]13-2)营业成本预算表（公车服务项目)'!D36</f>
        <v>0</v>
      </c>
      <c r="E36" s="11">
        <f t="shared" si="19"/>
        <v>0</v>
      </c>
      <c r="F36" s="40" t="e">
        <f t="shared" si="1"/>
        <v>#DIV/0!</v>
      </c>
      <c r="G36" s="11">
        <f t="shared" si="20"/>
        <v>0</v>
      </c>
      <c r="H36" s="11">
        <f>'[4]13-2)营业成本预算表（公车服务项目)'!H36</f>
        <v>0</v>
      </c>
      <c r="I36" s="11">
        <f>'[4]13-2)营业成本预算表（公车服务项目)'!I36</f>
        <v>0</v>
      </c>
      <c r="J36" s="11">
        <f>'[4]13-2)营业成本预算表（公车服务项目)'!J36</f>
        <v>0</v>
      </c>
      <c r="K36" s="11">
        <f>'[4]13-2)营业成本预算表（公车服务项目)'!K36</f>
        <v>0</v>
      </c>
      <c r="L36" s="41" t="e">
        <f t="shared" si="2"/>
        <v>#DIV/0!</v>
      </c>
      <c r="M36" s="5"/>
    </row>
    <row r="37" spans="1:13" ht="18" customHeight="1">
      <c r="A37" s="25" t="s">
        <v>664</v>
      </c>
      <c r="B37" s="11">
        <f>'[4]13-2)营业成本预算表（公车服务项目)'!B37</f>
        <v>0</v>
      </c>
      <c r="C37" s="11">
        <f>'[4]13-2)营业成本预算表（公车服务项目)'!C37</f>
        <v>0</v>
      </c>
      <c r="D37" s="11">
        <f>'[4]13-2)营业成本预算表（公车服务项目)'!D37</f>
        <v>0</v>
      </c>
      <c r="E37" s="11">
        <f t="shared" si="19"/>
        <v>0</v>
      </c>
      <c r="F37" s="40" t="e">
        <f t="shared" si="1"/>
        <v>#DIV/0!</v>
      </c>
      <c r="G37" s="11">
        <f t="shared" si="20"/>
        <v>0</v>
      </c>
      <c r="H37" s="11">
        <f>'[4]13-2)营业成本预算表（公车服务项目)'!H37</f>
        <v>0</v>
      </c>
      <c r="I37" s="11">
        <f>'[4]13-2)营业成本预算表（公车服务项目)'!I37</f>
        <v>0</v>
      </c>
      <c r="J37" s="11">
        <f>'[4]13-2)营业成本预算表（公车服务项目)'!J37</f>
        <v>0</v>
      </c>
      <c r="K37" s="11">
        <f>'[4]13-2)营业成本预算表（公车服务项目)'!K37</f>
        <v>0</v>
      </c>
      <c r="L37" s="41" t="e">
        <f t="shared" si="2"/>
        <v>#DIV/0!</v>
      </c>
      <c r="M37" s="5"/>
    </row>
    <row r="38" spans="1:13" ht="18" customHeight="1">
      <c r="A38" s="25" t="s">
        <v>665</v>
      </c>
      <c r="B38" s="11">
        <f>'[4]13-2)营业成本预算表（公车服务项目)'!B38</f>
        <v>0</v>
      </c>
      <c r="C38" s="11">
        <f>'[4]13-2)营业成本预算表（公车服务项目)'!C38</f>
        <v>0</v>
      </c>
      <c r="D38" s="11">
        <f>'[4]13-2)营业成本预算表（公车服务项目)'!D38</f>
        <v>0</v>
      </c>
      <c r="E38" s="11">
        <f t="shared" si="19"/>
        <v>0</v>
      </c>
      <c r="F38" s="40" t="e">
        <f t="shared" si="1"/>
        <v>#DIV/0!</v>
      </c>
      <c r="G38" s="11">
        <f t="shared" si="20"/>
        <v>0</v>
      </c>
      <c r="H38" s="11">
        <f>'[4]13-2)营业成本预算表（公车服务项目)'!H38</f>
        <v>0</v>
      </c>
      <c r="I38" s="11">
        <f>'[4]13-2)营业成本预算表（公车服务项目)'!I38</f>
        <v>0</v>
      </c>
      <c r="J38" s="11">
        <f>'[4]13-2)营业成本预算表（公车服务项目)'!J38</f>
        <v>0</v>
      </c>
      <c r="K38" s="11">
        <f>'[4]13-2)营业成本预算表（公车服务项目)'!K38</f>
        <v>0</v>
      </c>
      <c r="L38" s="41" t="e">
        <f t="shared" si="2"/>
        <v>#DIV/0!</v>
      </c>
      <c r="M38" s="5"/>
    </row>
    <row r="39" spans="1:13" ht="18" customHeight="1">
      <c r="A39" s="25" t="s">
        <v>666</v>
      </c>
      <c r="B39" s="11">
        <f>'[4]13-2)营业成本预算表（公车服务项目)'!B39</f>
        <v>0</v>
      </c>
      <c r="C39" s="11">
        <f>'[4]13-2)营业成本预算表（公车服务项目)'!C39</f>
        <v>0</v>
      </c>
      <c r="D39" s="11">
        <f>'[4]13-2)营业成本预算表（公车服务项目)'!D39</f>
        <v>0</v>
      </c>
      <c r="E39" s="11">
        <f t="shared" si="19"/>
        <v>0</v>
      </c>
      <c r="F39" s="40" t="e">
        <f t="shared" si="1"/>
        <v>#DIV/0!</v>
      </c>
      <c r="G39" s="11">
        <f t="shared" si="20"/>
        <v>0</v>
      </c>
      <c r="H39" s="11">
        <f>'[4]13-2)营业成本预算表（公车服务项目)'!H39</f>
        <v>0</v>
      </c>
      <c r="I39" s="11">
        <f>'[4]13-2)营业成本预算表（公车服务项目)'!I39</f>
        <v>0</v>
      </c>
      <c r="J39" s="11">
        <f>'[4]13-2)营业成本预算表（公车服务项目)'!J39</f>
        <v>0</v>
      </c>
      <c r="K39" s="11">
        <f>'[4]13-2)营业成本预算表（公车服务项目)'!K39</f>
        <v>0</v>
      </c>
      <c r="L39" s="41" t="e">
        <f t="shared" si="2"/>
        <v>#DIV/0!</v>
      </c>
      <c r="M39" s="5"/>
    </row>
    <row r="40" spans="1:13" ht="18" customHeight="1">
      <c r="A40" s="25" t="s">
        <v>667</v>
      </c>
      <c r="B40" s="11">
        <f>'[4]13-2)营业成本预算表（公车服务项目)'!B40</f>
        <v>0</v>
      </c>
      <c r="C40" s="11">
        <f>'[4]13-2)营业成本预算表（公车服务项目)'!C40</f>
        <v>0</v>
      </c>
      <c r="D40" s="11">
        <f>'[4]13-2)营业成本预算表（公车服务项目)'!D40</f>
        <v>0</v>
      </c>
      <c r="E40" s="11">
        <f t="shared" si="19"/>
        <v>0</v>
      </c>
      <c r="F40" s="40" t="e">
        <f t="shared" si="1"/>
        <v>#DIV/0!</v>
      </c>
      <c r="G40" s="11">
        <f t="shared" si="20"/>
        <v>0</v>
      </c>
      <c r="H40" s="11">
        <f>'[4]13-2)营业成本预算表（公车服务项目)'!H40</f>
        <v>0</v>
      </c>
      <c r="I40" s="11">
        <f>'[4]13-2)营业成本预算表（公车服务项目)'!I40</f>
        <v>0</v>
      </c>
      <c r="J40" s="11">
        <f>'[4]13-2)营业成本预算表（公车服务项目)'!J40</f>
        <v>0</v>
      </c>
      <c r="K40" s="11">
        <f>'[4]13-2)营业成本预算表（公车服务项目)'!K40</f>
        <v>0</v>
      </c>
      <c r="L40" s="41" t="e">
        <f t="shared" si="2"/>
        <v>#DIV/0!</v>
      </c>
      <c r="M40" s="5"/>
    </row>
    <row r="41" spans="1:13" ht="18" customHeight="1">
      <c r="A41" s="25" t="s">
        <v>668</v>
      </c>
      <c r="B41" s="11">
        <f>'[4]13-2)营业成本预算表（公车服务项目)'!B41</f>
        <v>0</v>
      </c>
      <c r="C41" s="11">
        <f>'[4]13-2)营业成本预算表（公车服务项目)'!C41</f>
        <v>0</v>
      </c>
      <c r="D41" s="11">
        <f>'[4]13-2)营业成本预算表（公车服务项目)'!D41</f>
        <v>0</v>
      </c>
      <c r="E41" s="11">
        <f t="shared" si="19"/>
        <v>0</v>
      </c>
      <c r="F41" s="40" t="e">
        <f t="shared" si="1"/>
        <v>#DIV/0!</v>
      </c>
      <c r="G41" s="11">
        <f t="shared" si="20"/>
        <v>0</v>
      </c>
      <c r="H41" s="11">
        <f>'[4]13-2)营业成本预算表（公车服务项目)'!H41</f>
        <v>0</v>
      </c>
      <c r="I41" s="11">
        <f>'[4]13-2)营业成本预算表（公车服务项目)'!I41</f>
        <v>0</v>
      </c>
      <c r="J41" s="11">
        <f>'[4]13-2)营业成本预算表（公车服务项目)'!J41</f>
        <v>0</v>
      </c>
      <c r="K41" s="11">
        <f>'[4]13-2)营业成本预算表（公车服务项目)'!K41</f>
        <v>0</v>
      </c>
      <c r="L41" s="41" t="e">
        <f t="shared" si="2"/>
        <v>#DIV/0!</v>
      </c>
      <c r="M41" s="5"/>
    </row>
    <row r="42" spans="1:13" ht="18" customHeight="1">
      <c r="A42" s="25" t="s">
        <v>669</v>
      </c>
      <c r="B42" s="11">
        <f>'[4]13-2)营业成本预算表（公车服务项目)'!B42</f>
        <v>0</v>
      </c>
      <c r="C42" s="11">
        <f>'[4]13-2)营业成本预算表（公车服务项目)'!C42</f>
        <v>0</v>
      </c>
      <c r="D42" s="11">
        <f>'[4]13-2)营业成本预算表（公车服务项目)'!D42</f>
        <v>0</v>
      </c>
      <c r="E42" s="11">
        <f t="shared" si="19"/>
        <v>0</v>
      </c>
      <c r="F42" s="40" t="e">
        <f t="shared" si="1"/>
        <v>#DIV/0!</v>
      </c>
      <c r="G42" s="11">
        <f t="shared" si="20"/>
        <v>0</v>
      </c>
      <c r="H42" s="11">
        <f>'[4]13-2)营业成本预算表（公车服务项目)'!H42</f>
        <v>0</v>
      </c>
      <c r="I42" s="11">
        <f>'[4]13-2)营业成本预算表（公车服务项目)'!I42</f>
        <v>0</v>
      </c>
      <c r="J42" s="11">
        <f>'[4]13-2)营业成本预算表（公车服务项目)'!J42</f>
        <v>0</v>
      </c>
      <c r="K42" s="11">
        <f>'[4]13-2)营业成本预算表（公车服务项目)'!K42</f>
        <v>0</v>
      </c>
      <c r="L42" s="41" t="e">
        <f t="shared" si="2"/>
        <v>#DIV/0!</v>
      </c>
      <c r="M42" s="5"/>
    </row>
    <row r="43" spans="1:13" ht="18" customHeight="1">
      <c r="A43" s="25" t="s">
        <v>670</v>
      </c>
      <c r="B43" s="11">
        <f aca="true" t="shared" si="21" ref="B43:K43">SUM(B44:B46)</f>
        <v>0</v>
      </c>
      <c r="C43" s="11">
        <f t="shared" si="21"/>
        <v>0</v>
      </c>
      <c r="D43" s="11">
        <f t="shared" si="21"/>
        <v>0</v>
      </c>
      <c r="E43" s="11">
        <f t="shared" si="21"/>
        <v>0</v>
      </c>
      <c r="F43" s="40" t="e">
        <f t="shared" si="1"/>
        <v>#DIV/0!</v>
      </c>
      <c r="G43" s="11">
        <f t="shared" si="21"/>
        <v>0</v>
      </c>
      <c r="H43" s="11">
        <f t="shared" si="21"/>
        <v>0</v>
      </c>
      <c r="I43" s="11">
        <f t="shared" si="21"/>
        <v>0</v>
      </c>
      <c r="J43" s="11">
        <f t="shared" si="21"/>
        <v>0</v>
      </c>
      <c r="K43" s="11">
        <f t="shared" si="21"/>
        <v>0</v>
      </c>
      <c r="L43" s="41" t="e">
        <f t="shared" si="2"/>
        <v>#DIV/0!</v>
      </c>
      <c r="M43" s="5"/>
    </row>
    <row r="44" spans="1:13" ht="18" customHeight="1">
      <c r="A44" s="25" t="s">
        <v>671</v>
      </c>
      <c r="B44" s="11">
        <f>'[4]13-2)营业成本预算表（公车服务项目)'!B44</f>
        <v>0</v>
      </c>
      <c r="C44" s="11">
        <f>'[4]13-2)营业成本预算表（公车服务项目)'!C44</f>
        <v>0</v>
      </c>
      <c r="D44" s="11">
        <f>'[4]13-2)营业成本预算表（公车服务项目)'!D44</f>
        <v>0</v>
      </c>
      <c r="E44" s="11">
        <f aca="true" t="shared" si="22" ref="E44:E46">C44+D44</f>
        <v>0</v>
      </c>
      <c r="F44" s="40" t="e">
        <f t="shared" si="1"/>
        <v>#DIV/0!</v>
      </c>
      <c r="G44" s="11">
        <f aca="true" t="shared" si="23" ref="G44:G46">SUM(H44:K44)</f>
        <v>0</v>
      </c>
      <c r="H44" s="11">
        <f>'[4]13-2)营业成本预算表（公车服务项目)'!H44</f>
        <v>0</v>
      </c>
      <c r="I44" s="11">
        <f>'[4]13-2)营业成本预算表（公车服务项目)'!I44</f>
        <v>0</v>
      </c>
      <c r="J44" s="11">
        <f>'[4]13-2)营业成本预算表（公车服务项目)'!J44</f>
        <v>0</v>
      </c>
      <c r="K44" s="11">
        <f>'[4]13-2)营业成本预算表（公车服务项目)'!K44</f>
        <v>0</v>
      </c>
      <c r="L44" s="41" t="e">
        <f t="shared" si="2"/>
        <v>#DIV/0!</v>
      </c>
      <c r="M44" s="5"/>
    </row>
    <row r="45" spans="1:13" ht="18" customHeight="1">
      <c r="A45" s="25" t="s">
        <v>672</v>
      </c>
      <c r="B45" s="11">
        <f>'[4]13-2)营业成本预算表（公车服务项目)'!B45</f>
        <v>0</v>
      </c>
      <c r="C45" s="11">
        <f>'[4]13-2)营业成本预算表（公车服务项目)'!C45</f>
        <v>0</v>
      </c>
      <c r="D45" s="11">
        <f>'[4]13-2)营业成本预算表（公车服务项目)'!D45</f>
        <v>0</v>
      </c>
      <c r="E45" s="11">
        <f t="shared" si="22"/>
        <v>0</v>
      </c>
      <c r="F45" s="40" t="e">
        <f t="shared" si="1"/>
        <v>#DIV/0!</v>
      </c>
      <c r="G45" s="11">
        <f t="shared" si="23"/>
        <v>0</v>
      </c>
      <c r="H45" s="11">
        <f>'[4]13-2)营业成本预算表（公车服务项目)'!H45</f>
        <v>0</v>
      </c>
      <c r="I45" s="11">
        <f>'[4]13-2)营业成本预算表（公车服务项目)'!I45</f>
        <v>0</v>
      </c>
      <c r="J45" s="11">
        <f>'[4]13-2)营业成本预算表（公车服务项目)'!J45</f>
        <v>0</v>
      </c>
      <c r="K45" s="11">
        <f>'[4]13-2)营业成本预算表（公车服务项目)'!K45</f>
        <v>0</v>
      </c>
      <c r="L45" s="41" t="e">
        <f t="shared" si="2"/>
        <v>#DIV/0!</v>
      </c>
      <c r="M45" s="5"/>
    </row>
    <row r="46" spans="1:13" ht="18" customHeight="1">
      <c r="A46" s="25" t="s">
        <v>673</v>
      </c>
      <c r="B46" s="11">
        <f>'[4]13-2)营业成本预算表（公车服务项目)'!B46</f>
        <v>0</v>
      </c>
      <c r="C46" s="11">
        <f>'[4]13-2)营业成本预算表（公车服务项目)'!C46</f>
        <v>0</v>
      </c>
      <c r="D46" s="11">
        <f>'[4]13-2)营业成本预算表（公车服务项目)'!D46</f>
        <v>0</v>
      </c>
      <c r="E46" s="11">
        <f t="shared" si="22"/>
        <v>0</v>
      </c>
      <c r="F46" s="40" t="e">
        <f t="shared" si="1"/>
        <v>#DIV/0!</v>
      </c>
      <c r="G46" s="11">
        <f t="shared" si="23"/>
        <v>0</v>
      </c>
      <c r="H46" s="11">
        <f>'[4]13-2)营业成本预算表（公车服务项目)'!H46</f>
        <v>0</v>
      </c>
      <c r="I46" s="11">
        <f>'[4]13-2)营业成本预算表（公车服务项目)'!I46</f>
        <v>0</v>
      </c>
      <c r="J46" s="11">
        <f>'[4]13-2)营业成本预算表（公车服务项目)'!J46</f>
        <v>0</v>
      </c>
      <c r="K46" s="11">
        <f>'[4]13-2)营业成本预算表（公车服务项目)'!K46</f>
        <v>0</v>
      </c>
      <c r="L46" s="41" t="e">
        <f t="shared" si="2"/>
        <v>#DIV/0!</v>
      </c>
      <c r="M46" s="5"/>
    </row>
    <row r="47" spans="1:13" ht="18" customHeight="1">
      <c r="A47" s="25" t="s">
        <v>674</v>
      </c>
      <c r="B47" s="11"/>
      <c r="C47" s="12"/>
      <c r="D47" s="12"/>
      <c r="E47" s="11"/>
      <c r="F47" s="40"/>
      <c r="G47" s="11"/>
      <c r="H47" s="12"/>
      <c r="I47" s="12"/>
      <c r="J47" s="12"/>
      <c r="K47" s="12"/>
      <c r="L47" s="41"/>
      <c r="M47" s="5"/>
    </row>
    <row r="48" spans="1:13" ht="18" customHeight="1">
      <c r="A48" s="25" t="s">
        <v>628</v>
      </c>
      <c r="B48" s="11"/>
      <c r="C48" s="12"/>
      <c r="D48" s="12"/>
      <c r="E48" s="11"/>
      <c r="F48" s="40"/>
      <c r="G48" s="11"/>
      <c r="H48" s="12"/>
      <c r="I48" s="12"/>
      <c r="J48" s="12"/>
      <c r="K48" s="12"/>
      <c r="L48" s="41"/>
      <c r="M48" s="5"/>
    </row>
    <row r="49" spans="1:13" ht="18" customHeight="1">
      <c r="A49" s="25"/>
      <c r="B49" s="11"/>
      <c r="C49" s="12"/>
      <c r="D49" s="12"/>
      <c r="E49" s="11"/>
      <c r="F49" s="40"/>
      <c r="G49" s="11"/>
      <c r="H49" s="12"/>
      <c r="I49" s="12"/>
      <c r="J49" s="12"/>
      <c r="K49" s="12"/>
      <c r="L49" s="41"/>
      <c r="M49" s="5"/>
    </row>
    <row r="50" spans="1:13" ht="18" customHeight="1">
      <c r="A50" s="5"/>
      <c r="B50" s="5"/>
      <c r="C50" s="16"/>
      <c r="D50" s="4" t="s">
        <v>629</v>
      </c>
      <c r="E50" s="5"/>
      <c r="F50" s="5"/>
      <c r="G50" s="5"/>
      <c r="H50" s="16"/>
      <c r="I50" s="17" t="s">
        <v>630</v>
      </c>
      <c r="J50" s="5"/>
      <c r="K50" s="5"/>
      <c r="L50" s="5"/>
      <c r="M50" s="5"/>
    </row>
  </sheetData>
  <sheetProtection/>
  <mergeCells count="6">
    <mergeCell ref="A1:M1"/>
    <mergeCell ref="B3:F3"/>
    <mergeCell ref="G3:K3"/>
    <mergeCell ref="A3:A4"/>
    <mergeCell ref="L3:L4"/>
    <mergeCell ref="M3:M4"/>
  </mergeCells>
  <printOptions/>
  <pageMargins left="1.18" right="0.19" top="0.55" bottom="0.39" header="0.28" footer="0.16"/>
  <pageSetup fitToHeight="1" fitToWidth="1" horizontalDpi="300" verticalDpi="300" orientation="landscape" paperSize="9" scale="76"/>
</worksheet>
</file>

<file path=xl/worksheets/sheet27.xml><?xml version="1.0" encoding="utf-8"?>
<worksheet xmlns="http://schemas.openxmlformats.org/spreadsheetml/2006/main" xmlns:r="http://schemas.openxmlformats.org/officeDocument/2006/relationships">
  <sheetPr>
    <pageSetUpPr fitToPage="1"/>
  </sheetPr>
  <dimension ref="A1:M50"/>
  <sheetViews>
    <sheetView workbookViewId="0" topLeftCell="A1">
      <selection activeCell="H44" sqref="H44:K46"/>
    </sheetView>
  </sheetViews>
  <sheetFormatPr defaultColWidth="9.140625" defaultRowHeight="12.75"/>
  <cols>
    <col min="1" max="1" width="30.28125" style="0" customWidth="1"/>
    <col min="2" max="2" width="13.140625" style="0" customWidth="1"/>
    <col min="3" max="3" width="10.7109375" style="0" customWidth="1"/>
    <col min="4" max="4" width="11.7109375" style="0" customWidth="1"/>
    <col min="5" max="6" width="10.7109375" style="0" customWidth="1"/>
    <col min="7" max="11" width="13.7109375" style="0" customWidth="1"/>
    <col min="12" max="13" width="10.7109375" style="0" customWidth="1"/>
  </cols>
  <sheetData>
    <row r="1" spans="1:13" ht="25.5" customHeight="1">
      <c r="A1" s="105" t="s">
        <v>704</v>
      </c>
      <c r="B1" s="23"/>
      <c r="C1" s="23" t="s">
        <v>598</v>
      </c>
      <c r="D1" s="23" t="s">
        <v>598</v>
      </c>
      <c r="E1" s="23" t="s">
        <v>598</v>
      </c>
      <c r="F1" s="23"/>
      <c r="G1" s="23" t="s">
        <v>598</v>
      </c>
      <c r="H1" s="23" t="s">
        <v>598</v>
      </c>
      <c r="I1" s="23" t="s">
        <v>598</v>
      </c>
      <c r="J1" s="23" t="s">
        <v>598</v>
      </c>
      <c r="K1" s="23" t="s">
        <v>598</v>
      </c>
      <c r="L1" s="23" t="s">
        <v>598</v>
      </c>
      <c r="M1" s="23" t="s">
        <v>598</v>
      </c>
    </row>
    <row r="2" spans="1:13" ht="18" customHeight="1">
      <c r="A2" s="106" t="s">
        <v>364</v>
      </c>
      <c r="B2" s="107"/>
      <c r="C2" s="45"/>
      <c r="D2" s="46"/>
      <c r="E2" s="47"/>
      <c r="F2" s="55"/>
      <c r="G2" s="24" t="s">
        <v>288</v>
      </c>
      <c r="H2" s="5"/>
      <c r="I2" s="5"/>
      <c r="J2" s="5"/>
      <c r="K2" s="5"/>
      <c r="L2" s="16" t="s">
        <v>599</v>
      </c>
      <c r="M2" s="5"/>
    </row>
    <row r="3" spans="1:13" ht="18" customHeight="1">
      <c r="A3" s="18" t="s">
        <v>290</v>
      </c>
      <c r="B3" s="90" t="s">
        <v>366</v>
      </c>
      <c r="C3" s="38"/>
      <c r="D3" s="38"/>
      <c r="E3" s="38"/>
      <c r="F3" s="39"/>
      <c r="G3" s="9" t="s">
        <v>292</v>
      </c>
      <c r="H3" s="9" t="s">
        <v>292</v>
      </c>
      <c r="I3" s="9" t="s">
        <v>292</v>
      </c>
      <c r="J3" s="9" t="s">
        <v>292</v>
      </c>
      <c r="K3" s="9" t="s">
        <v>292</v>
      </c>
      <c r="L3" s="9" t="s">
        <v>293</v>
      </c>
      <c r="M3" s="18" t="s">
        <v>33</v>
      </c>
    </row>
    <row r="4" spans="1:13" ht="18" customHeight="1">
      <c r="A4" s="18" t="s">
        <v>290</v>
      </c>
      <c r="B4" s="9" t="s">
        <v>294</v>
      </c>
      <c r="C4" s="9" t="s">
        <v>463</v>
      </c>
      <c r="D4" s="9" t="s">
        <v>296</v>
      </c>
      <c r="E4" s="9" t="s">
        <v>464</v>
      </c>
      <c r="F4" s="9" t="s">
        <v>299</v>
      </c>
      <c r="G4" s="9" t="s">
        <v>314</v>
      </c>
      <c r="H4" s="9" t="s">
        <v>324</v>
      </c>
      <c r="I4" s="9" t="s">
        <v>331</v>
      </c>
      <c r="J4" s="9" t="s">
        <v>334</v>
      </c>
      <c r="K4" s="9" t="s">
        <v>336</v>
      </c>
      <c r="L4" s="9" t="s">
        <v>293</v>
      </c>
      <c r="M4" s="18" t="s">
        <v>33</v>
      </c>
    </row>
    <row r="5" spans="1:13" ht="18" customHeight="1">
      <c r="A5" s="25" t="s">
        <v>691</v>
      </c>
      <c r="B5" s="11">
        <f aca="true" t="shared" si="0" ref="B5:K5">B6+B32+B43</f>
        <v>1089330.42</v>
      </c>
      <c r="C5" s="11">
        <f t="shared" si="0"/>
        <v>984459.7999999999</v>
      </c>
      <c r="D5" s="11">
        <f t="shared" si="0"/>
        <v>77778.03</v>
      </c>
      <c r="E5" s="11">
        <f t="shared" si="0"/>
        <v>1062237.8299999998</v>
      </c>
      <c r="F5" s="40">
        <f aca="true" t="shared" si="1" ref="F5:F46">E5/B5</f>
        <v>0.9751291348312846</v>
      </c>
      <c r="G5" s="11">
        <f t="shared" si="0"/>
        <v>2312970.67</v>
      </c>
      <c r="H5" s="11">
        <f t="shared" si="0"/>
        <v>562382.6675</v>
      </c>
      <c r="I5" s="11">
        <f t="shared" si="0"/>
        <v>597342.6675</v>
      </c>
      <c r="J5" s="11">
        <f t="shared" si="0"/>
        <v>583102.6675</v>
      </c>
      <c r="K5" s="11">
        <f t="shared" si="0"/>
        <v>570142.6675</v>
      </c>
      <c r="L5" s="41">
        <f aca="true" t="shared" si="2" ref="L5:L46">G5/E5</f>
        <v>2.1774508539203508</v>
      </c>
      <c r="M5" s="5"/>
    </row>
    <row r="6" spans="1:13" ht="18" customHeight="1">
      <c r="A6" s="25" t="s">
        <v>633</v>
      </c>
      <c r="B6" s="11">
        <f aca="true" t="shared" si="3" ref="B6:K6">B7+B26+B27</f>
        <v>1069521.38</v>
      </c>
      <c r="C6" s="11">
        <f t="shared" si="3"/>
        <v>977366.6599999999</v>
      </c>
      <c r="D6" s="11">
        <f t="shared" si="3"/>
        <v>76078.03</v>
      </c>
      <c r="E6" s="11">
        <f t="shared" si="3"/>
        <v>1053444.69</v>
      </c>
      <c r="F6" s="40">
        <f t="shared" si="1"/>
        <v>0.9849683322833621</v>
      </c>
      <c r="G6" s="11">
        <f t="shared" si="3"/>
        <v>2289151.83</v>
      </c>
      <c r="H6" s="11">
        <f t="shared" si="3"/>
        <v>556427.9575</v>
      </c>
      <c r="I6" s="11">
        <f t="shared" si="3"/>
        <v>591387.9575</v>
      </c>
      <c r="J6" s="11">
        <f t="shared" si="3"/>
        <v>577147.9575</v>
      </c>
      <c r="K6" s="11">
        <f t="shared" si="3"/>
        <v>564187.9575</v>
      </c>
      <c r="L6" s="41">
        <f t="shared" si="2"/>
        <v>2.1730156805859453</v>
      </c>
      <c r="M6" s="5"/>
    </row>
    <row r="7" spans="1:13" ht="18" customHeight="1">
      <c r="A7" s="72" t="s">
        <v>634</v>
      </c>
      <c r="B7" s="11">
        <f aca="true" t="shared" si="4" ref="B7:K7">B8+B16+B20+B23+B24+B25</f>
        <v>1069521.38</v>
      </c>
      <c r="C7" s="11">
        <f t="shared" si="4"/>
        <v>977366.6599999999</v>
      </c>
      <c r="D7" s="11">
        <f t="shared" si="4"/>
        <v>76078.03</v>
      </c>
      <c r="E7" s="11">
        <f t="shared" si="4"/>
        <v>1053444.69</v>
      </c>
      <c r="F7" s="40">
        <f t="shared" si="1"/>
        <v>0.9849683322833621</v>
      </c>
      <c r="G7" s="11">
        <f t="shared" si="4"/>
        <v>2289151.83</v>
      </c>
      <c r="H7" s="11">
        <f t="shared" si="4"/>
        <v>556427.9575</v>
      </c>
      <c r="I7" s="11">
        <f t="shared" si="4"/>
        <v>591387.9575</v>
      </c>
      <c r="J7" s="11">
        <f t="shared" si="4"/>
        <v>577147.9575</v>
      </c>
      <c r="K7" s="11">
        <f t="shared" si="4"/>
        <v>564187.9575</v>
      </c>
      <c r="L7" s="41">
        <f t="shared" si="2"/>
        <v>2.1730156805859453</v>
      </c>
      <c r="M7" s="5"/>
    </row>
    <row r="8" spans="1:13" ht="18" customHeight="1">
      <c r="A8" s="72" t="s">
        <v>635</v>
      </c>
      <c r="B8" s="11">
        <f aca="true" t="shared" si="5" ref="B8:K8">B9+B10+B14+B15</f>
        <v>760560</v>
      </c>
      <c r="C8" s="11">
        <f t="shared" si="5"/>
        <v>703425.96</v>
      </c>
      <c r="D8" s="11">
        <f t="shared" si="5"/>
        <v>50928</v>
      </c>
      <c r="E8" s="11">
        <f t="shared" si="5"/>
        <v>754353.96</v>
      </c>
      <c r="F8" s="40">
        <f t="shared" si="1"/>
        <v>0.9918401704007573</v>
      </c>
      <c r="G8" s="11">
        <f t="shared" si="5"/>
        <v>1662208</v>
      </c>
      <c r="H8" s="11">
        <f t="shared" si="5"/>
        <v>402292</v>
      </c>
      <c r="I8" s="11">
        <f t="shared" si="5"/>
        <v>426852</v>
      </c>
      <c r="J8" s="11">
        <f t="shared" si="5"/>
        <v>423012</v>
      </c>
      <c r="K8" s="11">
        <f t="shared" si="5"/>
        <v>410052</v>
      </c>
      <c r="L8" s="41">
        <f t="shared" si="2"/>
        <v>2.203485483127841</v>
      </c>
      <c r="M8" s="5"/>
    </row>
    <row r="9" spans="1:13" ht="18" customHeight="1">
      <c r="A9" s="72" t="s">
        <v>636</v>
      </c>
      <c r="B9" s="11">
        <f>'[4]13-2)营业成本预算表（农场后勤服务)'!B9</f>
        <v>424080</v>
      </c>
      <c r="C9" s="11">
        <f>'[4]13-2)营业成本预算表（农场后勤服务)'!C9</f>
        <v>405559.96</v>
      </c>
      <c r="D9" s="11">
        <f>'[4]13-2)营业成本预算表（农场后勤服务)'!D9</f>
        <v>28440</v>
      </c>
      <c r="E9" s="11">
        <f aca="true" t="shared" si="6" ref="E9:E15">C9+D9</f>
        <v>433999.96</v>
      </c>
      <c r="F9" s="40">
        <f t="shared" si="1"/>
        <v>1.023391718543671</v>
      </c>
      <c r="G9" s="11">
        <f aca="true" t="shared" si="7" ref="G9:G15">SUM(H9:K9)</f>
        <v>881760</v>
      </c>
      <c r="H9" s="11">
        <f>'[4]13-2)营业成本预算表（农场后勤服务)'!H9</f>
        <v>220440</v>
      </c>
      <c r="I9" s="11">
        <f>'[4]13-2)营业成本预算表（农场后勤服务)'!I9</f>
        <v>220440</v>
      </c>
      <c r="J9" s="11">
        <f>'[4]13-2)营业成本预算表（农场后勤服务)'!J9</f>
        <v>220440</v>
      </c>
      <c r="K9" s="11">
        <f>'[4]13-2)营业成本预算表（农场后勤服务)'!K9</f>
        <v>220440</v>
      </c>
      <c r="L9" s="41">
        <f t="shared" si="2"/>
        <v>2.0317052563783644</v>
      </c>
      <c r="M9" s="5"/>
    </row>
    <row r="10" spans="1:13" ht="18" customHeight="1">
      <c r="A10" s="72" t="s">
        <v>637</v>
      </c>
      <c r="B10" s="11">
        <f aca="true" t="shared" si="8" ref="B10:K10">SUM(B11:B13)</f>
        <v>236400</v>
      </c>
      <c r="C10" s="11">
        <f t="shared" si="8"/>
        <v>209500</v>
      </c>
      <c r="D10" s="11">
        <f t="shared" si="8"/>
        <v>14400</v>
      </c>
      <c r="E10" s="11">
        <f t="shared" si="8"/>
        <v>223900</v>
      </c>
      <c r="F10" s="40">
        <f t="shared" si="1"/>
        <v>0.9471235194585449</v>
      </c>
      <c r="G10" s="11">
        <f t="shared" si="8"/>
        <v>543000</v>
      </c>
      <c r="H10" s="11">
        <f t="shared" si="8"/>
        <v>135750</v>
      </c>
      <c r="I10" s="11">
        <f t="shared" si="8"/>
        <v>135750</v>
      </c>
      <c r="J10" s="11">
        <f t="shared" si="8"/>
        <v>135750</v>
      </c>
      <c r="K10" s="11">
        <f t="shared" si="8"/>
        <v>135750</v>
      </c>
      <c r="L10" s="41">
        <f t="shared" si="2"/>
        <v>2.4251898168825368</v>
      </c>
      <c r="M10" s="5"/>
    </row>
    <row r="11" spans="1:13" ht="18" customHeight="1">
      <c r="A11" s="75" t="s">
        <v>638</v>
      </c>
      <c r="B11" s="11">
        <f>'[4]13-2)营业成本预算表（农场后勤服务)'!B11</f>
        <v>0</v>
      </c>
      <c r="C11" s="11">
        <f>'[4]13-2)营业成本预算表（农场后勤服务)'!C11</f>
        <v>0</v>
      </c>
      <c r="D11" s="11">
        <f>'[4]13-2)营业成本预算表（农场后勤服务)'!D11</f>
        <v>0</v>
      </c>
      <c r="E11" s="11">
        <f t="shared" si="6"/>
        <v>0</v>
      </c>
      <c r="F11" s="40" t="e">
        <f t="shared" si="1"/>
        <v>#DIV/0!</v>
      </c>
      <c r="G11" s="11">
        <f t="shared" si="7"/>
        <v>0</v>
      </c>
      <c r="H11" s="11">
        <f>'[4]13-2)营业成本预算表（农场后勤服务)'!H11</f>
        <v>0</v>
      </c>
      <c r="I11" s="11">
        <f>'[4]13-2)营业成本预算表（农场后勤服务)'!I11</f>
        <v>0</v>
      </c>
      <c r="J11" s="11">
        <f>'[4]13-2)营业成本预算表（农场后勤服务)'!J11</f>
        <v>0</v>
      </c>
      <c r="K11" s="11">
        <f>'[4]13-2)营业成本预算表（农场后勤服务)'!K11</f>
        <v>0</v>
      </c>
      <c r="L11" s="41" t="e">
        <f t="shared" si="2"/>
        <v>#DIV/0!</v>
      </c>
      <c r="M11" s="5"/>
    </row>
    <row r="12" spans="1:13" ht="18" customHeight="1">
      <c r="A12" s="75" t="s">
        <v>639</v>
      </c>
      <c r="B12" s="11">
        <f>'[4]13-2)营业成本预算表（农场后勤服务)'!B12</f>
        <v>86400</v>
      </c>
      <c r="C12" s="11">
        <f>'[4]13-2)营业成本预算表（农场后勤服务)'!C12</f>
        <v>72000</v>
      </c>
      <c r="D12" s="11">
        <f>'[4]13-2)营业成本预算表（农场后勤服务)'!D12</f>
        <v>2400</v>
      </c>
      <c r="E12" s="11">
        <f t="shared" si="6"/>
        <v>74400</v>
      </c>
      <c r="F12" s="40">
        <f t="shared" si="1"/>
        <v>0.8611111111111112</v>
      </c>
      <c r="G12" s="11">
        <f t="shared" si="7"/>
        <v>204000</v>
      </c>
      <c r="H12" s="11">
        <f>'[4]13-2)营业成本预算表（农场后勤服务)'!H12</f>
        <v>51000</v>
      </c>
      <c r="I12" s="11">
        <f>'[4]13-2)营业成本预算表（农场后勤服务)'!I12</f>
        <v>51000</v>
      </c>
      <c r="J12" s="11">
        <f>'[4]13-2)营业成本预算表（农场后勤服务)'!J12</f>
        <v>51000</v>
      </c>
      <c r="K12" s="11">
        <f>'[4]13-2)营业成本预算表（农场后勤服务)'!K12</f>
        <v>51000</v>
      </c>
      <c r="L12" s="41">
        <f t="shared" si="2"/>
        <v>2.7419354838709675</v>
      </c>
      <c r="M12" s="5"/>
    </row>
    <row r="13" spans="1:13" ht="18" customHeight="1">
      <c r="A13" s="75" t="s">
        <v>640</v>
      </c>
      <c r="B13" s="11">
        <f>'[4]13-2)营业成本预算表（农场后勤服务)'!B13</f>
        <v>150000</v>
      </c>
      <c r="C13" s="11">
        <f>'[4]13-2)营业成本预算表（农场后勤服务)'!C13</f>
        <v>137500</v>
      </c>
      <c r="D13" s="11">
        <f>'[4]13-2)营业成本预算表（农场后勤服务)'!D13</f>
        <v>12000</v>
      </c>
      <c r="E13" s="11">
        <f t="shared" si="6"/>
        <v>149500</v>
      </c>
      <c r="F13" s="40">
        <f t="shared" si="1"/>
        <v>0.9966666666666667</v>
      </c>
      <c r="G13" s="11">
        <f t="shared" si="7"/>
        <v>339000</v>
      </c>
      <c r="H13" s="11">
        <f>'[4]13-2)营业成本预算表（农场后勤服务)'!H13</f>
        <v>84750</v>
      </c>
      <c r="I13" s="11">
        <f>'[4]13-2)营业成本预算表（农场后勤服务)'!I13</f>
        <v>84750</v>
      </c>
      <c r="J13" s="11">
        <f>'[4]13-2)营业成本预算表（农场后勤服务)'!J13</f>
        <v>84750</v>
      </c>
      <c r="K13" s="11">
        <f>'[4]13-2)营业成本预算表（农场后勤服务)'!K13</f>
        <v>84750</v>
      </c>
      <c r="L13" s="41">
        <f t="shared" si="2"/>
        <v>2.2675585284280935</v>
      </c>
      <c r="M13" s="5"/>
    </row>
    <row r="14" spans="1:13" ht="18" customHeight="1">
      <c r="A14" s="72" t="s">
        <v>641</v>
      </c>
      <c r="B14" s="11">
        <f>'[4]13-2)营业成本预算表（农场后勤服务)'!B14</f>
        <v>75120</v>
      </c>
      <c r="C14" s="11">
        <f>'[4]13-2)营业成本预算表（农场后勤服务)'!C14</f>
        <v>68398</v>
      </c>
      <c r="D14" s="11">
        <f>'[4]13-2)营业成本预算表（农场后勤服务)'!D14</f>
        <v>3408</v>
      </c>
      <c r="E14" s="11">
        <f t="shared" si="6"/>
        <v>71806</v>
      </c>
      <c r="F14" s="40">
        <f t="shared" si="1"/>
        <v>0.9558839190628328</v>
      </c>
      <c r="G14" s="11">
        <f t="shared" si="7"/>
        <v>225288</v>
      </c>
      <c r="H14" s="11">
        <f>'[4]13-2)营业成本预算表（农场后勤服务)'!H14</f>
        <v>41622</v>
      </c>
      <c r="I14" s="11">
        <f>'[4]13-2)营业成本预算表（农场后勤服务)'!I14</f>
        <v>66822</v>
      </c>
      <c r="J14" s="11">
        <f>'[4]13-2)营业成本预算表（农场后勤服务)'!J14</f>
        <v>66822</v>
      </c>
      <c r="K14" s="11">
        <f>'[4]13-2)营业成本预算表（农场后勤服务)'!K14</f>
        <v>50022</v>
      </c>
      <c r="L14" s="41">
        <f t="shared" si="2"/>
        <v>3.137453694677325</v>
      </c>
      <c r="M14" s="5"/>
    </row>
    <row r="15" spans="1:13" ht="18" customHeight="1">
      <c r="A15" s="72" t="s">
        <v>642</v>
      </c>
      <c r="B15" s="11">
        <f>'[4]13-2)营业成本预算表（农场后勤服务)'!B15</f>
        <v>24960</v>
      </c>
      <c r="C15" s="11">
        <f>'[4]13-2)营业成本预算表（农场后勤服务)'!C15</f>
        <v>19968</v>
      </c>
      <c r="D15" s="11">
        <f>'[4]13-2)营业成本预算表（农场后勤服务)'!D15</f>
        <v>4680</v>
      </c>
      <c r="E15" s="11">
        <f t="shared" si="6"/>
        <v>24648</v>
      </c>
      <c r="F15" s="40">
        <f t="shared" si="1"/>
        <v>0.9875</v>
      </c>
      <c r="G15" s="11">
        <f t="shared" si="7"/>
        <v>12160</v>
      </c>
      <c r="H15" s="11">
        <f>'[4]13-2)营业成本预算表（农场后勤服务)'!H15</f>
        <v>4480</v>
      </c>
      <c r="I15" s="11">
        <f>'[4]13-2)营业成本预算表（农场后勤服务)'!I15</f>
        <v>3840</v>
      </c>
      <c r="J15" s="11">
        <f>'[4]13-2)营业成本预算表（农场后勤服务)'!J15</f>
        <v>0</v>
      </c>
      <c r="K15" s="11">
        <f>'[4]13-2)营业成本预算表（农场后勤服务)'!K15</f>
        <v>3840</v>
      </c>
      <c r="L15" s="41">
        <f t="shared" si="2"/>
        <v>0.4933463161311263</v>
      </c>
      <c r="M15" s="5"/>
    </row>
    <row r="16" spans="1:13" ht="18" customHeight="1">
      <c r="A16" s="72" t="s">
        <v>643</v>
      </c>
      <c r="B16" s="11">
        <f aca="true" t="shared" si="9" ref="B16:K16">SUM(B17:B19)</f>
        <v>55952</v>
      </c>
      <c r="C16" s="11">
        <f t="shared" si="9"/>
        <v>44364</v>
      </c>
      <c r="D16" s="11">
        <f t="shared" si="9"/>
        <v>3888</v>
      </c>
      <c r="E16" s="11">
        <f t="shared" si="9"/>
        <v>48252</v>
      </c>
      <c r="F16" s="40">
        <f t="shared" si="1"/>
        <v>0.8623820417500715</v>
      </c>
      <c r="G16" s="11">
        <f t="shared" si="9"/>
        <v>10400</v>
      </c>
      <c r="H16" s="11">
        <f t="shared" si="9"/>
        <v>0</v>
      </c>
      <c r="I16" s="11">
        <f t="shared" si="9"/>
        <v>10400</v>
      </c>
      <c r="J16" s="11">
        <f t="shared" si="9"/>
        <v>0</v>
      </c>
      <c r="K16" s="11">
        <f t="shared" si="9"/>
        <v>0</v>
      </c>
      <c r="L16" s="41">
        <f t="shared" si="2"/>
        <v>0.21553510735306308</v>
      </c>
      <c r="M16" s="5"/>
    </row>
    <row r="17" spans="1:13" ht="18" customHeight="1">
      <c r="A17" s="72" t="s">
        <v>644</v>
      </c>
      <c r="B17" s="11">
        <f>'[4]13-2)营业成本预算表（农场后勤服务)'!B17</f>
        <v>44352</v>
      </c>
      <c r="C17" s="11">
        <f>'[4]13-2)营业成本预算表（农场后勤服务)'!C17</f>
        <v>40056</v>
      </c>
      <c r="D17" s="11">
        <f>'[4]13-2)营业成本预算表（农场后勤服务)'!D17</f>
        <v>3888</v>
      </c>
      <c r="E17" s="11">
        <f aca="true" t="shared" si="10" ref="E17:E19">C17+D17</f>
        <v>43944</v>
      </c>
      <c r="F17" s="40">
        <f t="shared" si="1"/>
        <v>0.9908008658008658</v>
      </c>
      <c r="G17" s="11">
        <f aca="true" t="shared" si="11" ref="G17:G19">SUM(H17:K17)</f>
        <v>0</v>
      </c>
      <c r="H17" s="11">
        <f>'[4]13-2)营业成本预算表（农场后勤服务)'!H17</f>
        <v>0</v>
      </c>
      <c r="I17" s="11">
        <f>'[4]13-2)营业成本预算表（农场后勤服务)'!I17</f>
        <v>0</v>
      </c>
      <c r="J17" s="11">
        <f>'[4]13-2)营业成本预算表（农场后勤服务)'!J17</f>
        <v>0</v>
      </c>
      <c r="K17" s="11">
        <f>'[4]13-2)营业成本预算表（农场后勤服务)'!K17</f>
        <v>0</v>
      </c>
      <c r="L17" s="41">
        <f t="shared" si="2"/>
        <v>0</v>
      </c>
      <c r="M17" s="5"/>
    </row>
    <row r="18" spans="1:13" ht="18" customHeight="1">
      <c r="A18" s="72" t="s">
        <v>645</v>
      </c>
      <c r="B18" s="11">
        <f>'[4]13-2)营业成本预算表（农场后勤服务)'!B18</f>
        <v>9100</v>
      </c>
      <c r="C18" s="11">
        <f>'[4]13-2)营业成本预算表（农场后勤服务)'!C18</f>
        <v>0</v>
      </c>
      <c r="D18" s="11">
        <f>'[4]13-2)营业成本预算表（农场后勤服务)'!D18</f>
        <v>0</v>
      </c>
      <c r="E18" s="11">
        <f t="shared" si="10"/>
        <v>0</v>
      </c>
      <c r="F18" s="40">
        <f t="shared" si="1"/>
        <v>0</v>
      </c>
      <c r="G18" s="11">
        <f t="shared" si="11"/>
        <v>10400</v>
      </c>
      <c r="H18" s="11">
        <f>'[4]13-2)营业成本预算表（农场后勤服务)'!H18</f>
        <v>0</v>
      </c>
      <c r="I18" s="11">
        <f>'[4]13-2)营业成本预算表（农场后勤服务)'!I18</f>
        <v>10400</v>
      </c>
      <c r="J18" s="11">
        <f>'[4]13-2)营业成本预算表（农场后勤服务)'!J18</f>
        <v>0</v>
      </c>
      <c r="K18" s="11">
        <f>'[4]13-2)营业成本预算表（农场后勤服务)'!K18</f>
        <v>0</v>
      </c>
      <c r="L18" s="41" t="e">
        <f t="shared" si="2"/>
        <v>#DIV/0!</v>
      </c>
      <c r="M18" s="5"/>
    </row>
    <row r="19" spans="1:13" ht="18" customHeight="1">
      <c r="A19" s="72" t="s">
        <v>646</v>
      </c>
      <c r="B19" s="11">
        <f>'[4]13-2)营业成本预算表（农场后勤服务)'!B19</f>
        <v>2500</v>
      </c>
      <c r="C19" s="11">
        <f>'[4]13-2)营业成本预算表（农场后勤服务)'!C19</f>
        <v>4308</v>
      </c>
      <c r="D19" s="11">
        <f>'[4]13-2)营业成本预算表（农场后勤服务)'!D19</f>
        <v>0</v>
      </c>
      <c r="E19" s="11">
        <f t="shared" si="10"/>
        <v>4308</v>
      </c>
      <c r="F19" s="40">
        <f t="shared" si="1"/>
        <v>1.7232</v>
      </c>
      <c r="G19" s="11">
        <f t="shared" si="11"/>
        <v>0</v>
      </c>
      <c r="H19" s="11">
        <f>'[4]13-2)营业成本预算表（农场后勤服务)'!H19</f>
        <v>0</v>
      </c>
      <c r="I19" s="11">
        <f>'[4]13-2)营业成本预算表（农场后勤服务)'!I19</f>
        <v>0</v>
      </c>
      <c r="J19" s="11">
        <f>'[4]13-2)营业成本预算表（农场后勤服务)'!J19</f>
        <v>0</v>
      </c>
      <c r="K19" s="11">
        <f>'[4]13-2)营业成本预算表（农场后勤服务)'!K19</f>
        <v>0</v>
      </c>
      <c r="L19" s="41">
        <f t="shared" si="2"/>
        <v>0</v>
      </c>
      <c r="M19" s="5"/>
    </row>
    <row r="20" spans="1:13" ht="18" customHeight="1">
      <c r="A20" s="72" t="s">
        <v>647</v>
      </c>
      <c r="B20" s="11">
        <f aca="true" t="shared" si="12" ref="B20:K20">SUM(B21:B22)</f>
        <v>164884.44</v>
      </c>
      <c r="C20" s="11">
        <f t="shared" si="12"/>
        <v>174210.7</v>
      </c>
      <c r="D20" s="11">
        <f t="shared" si="12"/>
        <v>16346.029999999999</v>
      </c>
      <c r="E20" s="11">
        <f t="shared" si="12"/>
        <v>190556.73</v>
      </c>
      <c r="F20" s="40">
        <f t="shared" si="1"/>
        <v>1.15569868205878</v>
      </c>
      <c r="G20" s="11">
        <f t="shared" si="12"/>
        <v>424268.5199999999</v>
      </c>
      <c r="H20" s="11">
        <f t="shared" si="12"/>
        <v>106067.12999999998</v>
      </c>
      <c r="I20" s="11">
        <f t="shared" si="12"/>
        <v>106067.12999999998</v>
      </c>
      <c r="J20" s="11">
        <f t="shared" si="12"/>
        <v>106067.12999999998</v>
      </c>
      <c r="K20" s="11">
        <f t="shared" si="12"/>
        <v>106067.12999999998</v>
      </c>
      <c r="L20" s="41">
        <f t="shared" si="2"/>
        <v>2.2264683068396476</v>
      </c>
      <c r="M20" s="5"/>
    </row>
    <row r="21" spans="1:13" ht="18" customHeight="1">
      <c r="A21" s="72" t="s">
        <v>648</v>
      </c>
      <c r="B21" s="11">
        <f>'[4]13-2)营业成本预算表（农场后勤服务)'!B21</f>
        <v>156785.28</v>
      </c>
      <c r="C21" s="11">
        <f>'[4]13-2)营业成本预算表（农场后勤服务)'!C21</f>
        <v>162732.78</v>
      </c>
      <c r="D21" s="11">
        <f>'[4]13-2)营业成本预算表（农场后勤服务)'!D21</f>
        <v>14792.66</v>
      </c>
      <c r="E21" s="11">
        <f aca="true" t="shared" si="13" ref="E21:E26">C21+D21</f>
        <v>177525.44</v>
      </c>
      <c r="F21" s="40">
        <f t="shared" si="1"/>
        <v>1.1322838470550296</v>
      </c>
      <c r="G21" s="11">
        <f aca="true" t="shared" si="14" ref="G21:G26">SUM(H21:K21)</f>
        <v>388717.7999999999</v>
      </c>
      <c r="H21" s="11">
        <f>'[4]13-2)营业成本预算表（农场后勤服务)'!H21</f>
        <v>97179.44999999997</v>
      </c>
      <c r="I21" s="11">
        <f>'[4]13-2)营业成本预算表（农场后勤服务)'!I21</f>
        <v>97179.44999999997</v>
      </c>
      <c r="J21" s="11">
        <f>'[4]13-2)营业成本预算表（农场后勤服务)'!J21</f>
        <v>97179.44999999997</v>
      </c>
      <c r="K21" s="11">
        <f>'[4]13-2)营业成本预算表（农场后勤服务)'!K21</f>
        <v>97179.44999999997</v>
      </c>
      <c r="L21" s="41">
        <f t="shared" si="2"/>
        <v>2.1896456079759603</v>
      </c>
      <c r="M21" s="5"/>
    </row>
    <row r="22" spans="1:13" ht="18" customHeight="1">
      <c r="A22" s="72" t="s">
        <v>649</v>
      </c>
      <c r="B22" s="11">
        <f>'[4]13-2)营业成本预算表（农场后勤服务)'!B22</f>
        <v>8099.16</v>
      </c>
      <c r="C22" s="11">
        <f>'[4]13-2)营业成本预算表（农场后勤服务)'!C22</f>
        <v>11477.92</v>
      </c>
      <c r="D22" s="11">
        <f>'[4]13-2)营业成本预算表（农场后勤服务)'!D22</f>
        <v>1553.37</v>
      </c>
      <c r="E22" s="11">
        <f t="shared" si="13"/>
        <v>13031.29</v>
      </c>
      <c r="F22" s="40">
        <f t="shared" si="1"/>
        <v>1.6089680905180292</v>
      </c>
      <c r="G22" s="11">
        <f t="shared" si="14"/>
        <v>35550.72000000001</v>
      </c>
      <c r="H22" s="11">
        <f>'[4]13-2)营业成本预算表（农场后勤服务)'!H22</f>
        <v>8887.680000000002</v>
      </c>
      <c r="I22" s="11">
        <f>'[4]13-2)营业成本预算表（农场后勤服务)'!I22</f>
        <v>8887.680000000002</v>
      </c>
      <c r="J22" s="11">
        <f>'[4]13-2)营业成本预算表（农场后勤服务)'!J22</f>
        <v>8887.680000000002</v>
      </c>
      <c r="K22" s="11">
        <f>'[4]13-2)营业成本预算表（农场后勤服务)'!K22</f>
        <v>8887.680000000002</v>
      </c>
      <c r="L22" s="41">
        <f t="shared" si="2"/>
        <v>2.728104431717812</v>
      </c>
      <c r="M22" s="5"/>
    </row>
    <row r="23" spans="1:13" ht="18" customHeight="1">
      <c r="A23" s="72" t="s">
        <v>650</v>
      </c>
      <c r="B23" s="11">
        <f>'[4]13-2)营业成本预算表（农场后勤服务)'!B23</f>
        <v>61788</v>
      </c>
      <c r="C23" s="11">
        <f>'[4]13-2)营业成本预算表（农场后勤服务)'!C23</f>
        <v>55366</v>
      </c>
      <c r="D23" s="11">
        <f>'[4]13-2)营业成本预算表（农场后勤服务)'!D23</f>
        <v>4916</v>
      </c>
      <c r="E23" s="11">
        <f t="shared" si="13"/>
        <v>60282</v>
      </c>
      <c r="F23" s="40">
        <f t="shared" si="1"/>
        <v>0.9756263352107205</v>
      </c>
      <c r="G23" s="11">
        <f t="shared" si="14"/>
        <v>147096</v>
      </c>
      <c r="H23" s="11">
        <f>'[4]13-2)营业成本预算表（农场后勤服务)'!H23</f>
        <v>36774</v>
      </c>
      <c r="I23" s="11">
        <f>'[4]13-2)营业成本预算表（农场后勤服务)'!I23</f>
        <v>36774</v>
      </c>
      <c r="J23" s="11">
        <f>'[4]13-2)营业成本预算表（农场后勤服务)'!J23</f>
        <v>36774</v>
      </c>
      <c r="K23" s="11">
        <f>'[4]13-2)营业成本预算表（农场后勤服务)'!K23</f>
        <v>36774</v>
      </c>
      <c r="L23" s="41">
        <f t="shared" si="2"/>
        <v>2.4401313825022393</v>
      </c>
      <c r="M23" s="5"/>
    </row>
    <row r="24" spans="1:13" ht="18" customHeight="1">
      <c r="A24" s="72" t="s">
        <v>651</v>
      </c>
      <c r="B24" s="11">
        <f>'[4]13-2)营业成本预算表（农场后勤服务)'!B24</f>
        <v>11287.26</v>
      </c>
      <c r="C24" s="11">
        <f>'[4]13-2)营业成本预算表（农场后勤服务)'!C24</f>
        <v>0</v>
      </c>
      <c r="D24" s="11">
        <f>'[4]13-2)营业成本预算表（农场后勤服务)'!D24</f>
        <v>0</v>
      </c>
      <c r="E24" s="11">
        <f t="shared" si="13"/>
        <v>0</v>
      </c>
      <c r="F24" s="40">
        <f t="shared" si="1"/>
        <v>0</v>
      </c>
      <c r="G24" s="11">
        <f t="shared" si="14"/>
        <v>12178.349999999999</v>
      </c>
      <c r="H24" s="11">
        <f>'[4]13-2)营业成本预算表（农场后勤服务)'!H24</f>
        <v>3044.5874999999996</v>
      </c>
      <c r="I24" s="11">
        <f>'[4]13-2)营业成本预算表（农场后勤服务)'!I24</f>
        <v>3044.5874999999996</v>
      </c>
      <c r="J24" s="11">
        <f>'[4]13-2)营业成本预算表（农场后勤服务)'!J24</f>
        <v>3044.5874999999996</v>
      </c>
      <c r="K24" s="11">
        <f>'[4]13-2)营业成本预算表（农场后勤服务)'!K24</f>
        <v>3044.5874999999996</v>
      </c>
      <c r="L24" s="41" t="e">
        <f t="shared" si="2"/>
        <v>#DIV/0!</v>
      </c>
      <c r="M24" s="5"/>
    </row>
    <row r="25" spans="1:13" ht="18" customHeight="1">
      <c r="A25" s="72" t="s">
        <v>652</v>
      </c>
      <c r="B25" s="11">
        <f>'[4]13-2)营业成本预算表（农场后勤服务)'!B25</f>
        <v>15049.68</v>
      </c>
      <c r="C25" s="11">
        <f>'[4]13-2)营业成本预算表（农场后勤服务)'!C25</f>
        <v>0</v>
      </c>
      <c r="D25" s="11">
        <f>'[4]13-2)营业成本预算表（农场后勤服务)'!D25</f>
        <v>0</v>
      </c>
      <c r="E25" s="11">
        <f t="shared" si="13"/>
        <v>0</v>
      </c>
      <c r="F25" s="40">
        <f t="shared" si="1"/>
        <v>0</v>
      </c>
      <c r="G25" s="11">
        <f t="shared" si="14"/>
        <v>33000.96</v>
      </c>
      <c r="H25" s="11">
        <f>'[4]13-2)营业成本预算表（农场后勤服务)'!H25</f>
        <v>8250.24</v>
      </c>
      <c r="I25" s="11">
        <f>'[4]13-2)营业成本预算表（农场后勤服务)'!I25</f>
        <v>8250.24</v>
      </c>
      <c r="J25" s="11">
        <f>'[4]13-2)营业成本预算表（农场后勤服务)'!J25</f>
        <v>8250.24</v>
      </c>
      <c r="K25" s="11">
        <f>'[4]13-2)营业成本预算表（农场后勤服务)'!K25</f>
        <v>8250.24</v>
      </c>
      <c r="L25" s="41" t="e">
        <f t="shared" si="2"/>
        <v>#DIV/0!</v>
      </c>
      <c r="M25" s="5"/>
    </row>
    <row r="26" spans="1:13" ht="18" customHeight="1">
      <c r="A26" s="108" t="s">
        <v>653</v>
      </c>
      <c r="B26" s="11">
        <f>'[4]13-2)营业成本预算表（农场后勤服务)'!B26</f>
        <v>0</v>
      </c>
      <c r="C26" s="11">
        <f>'[4]13-2)营业成本预算表（农场后勤服务)'!C26</f>
        <v>0</v>
      </c>
      <c r="D26" s="11">
        <f>'[4]13-2)营业成本预算表（农场后勤服务)'!D26</f>
        <v>0</v>
      </c>
      <c r="E26" s="11">
        <f t="shared" si="13"/>
        <v>0</v>
      </c>
      <c r="F26" s="40" t="e">
        <f t="shared" si="1"/>
        <v>#DIV/0!</v>
      </c>
      <c r="G26" s="11">
        <f t="shared" si="14"/>
        <v>0</v>
      </c>
      <c r="H26" s="11">
        <f>'[4]13-2)营业成本预算表（农场后勤服务)'!H26</f>
        <v>0</v>
      </c>
      <c r="I26" s="11">
        <f>'[4]13-2)营业成本预算表（农场后勤服务)'!I26</f>
        <v>0</v>
      </c>
      <c r="J26" s="11">
        <f>'[4]13-2)营业成本预算表（农场后勤服务)'!J26</f>
        <v>0</v>
      </c>
      <c r="K26" s="11">
        <f>'[4]13-2)营业成本预算表（农场后勤服务)'!K26</f>
        <v>0</v>
      </c>
      <c r="L26" s="41" t="e">
        <f t="shared" si="2"/>
        <v>#DIV/0!</v>
      </c>
      <c r="M26" s="5"/>
    </row>
    <row r="27" spans="1:13" ht="18" customHeight="1">
      <c r="A27" s="108" t="s">
        <v>654</v>
      </c>
      <c r="B27" s="11">
        <f aca="true" t="shared" si="15" ref="B27:K27">SUM(B28:B31)</f>
        <v>0</v>
      </c>
      <c r="C27" s="11">
        <f t="shared" si="15"/>
        <v>0</v>
      </c>
      <c r="D27" s="11">
        <f t="shared" si="15"/>
        <v>0</v>
      </c>
      <c r="E27" s="11">
        <f t="shared" si="15"/>
        <v>0</v>
      </c>
      <c r="F27" s="40" t="e">
        <f t="shared" si="1"/>
        <v>#DIV/0!</v>
      </c>
      <c r="G27" s="11">
        <f t="shared" si="15"/>
        <v>0</v>
      </c>
      <c r="H27" s="11">
        <f t="shared" si="15"/>
        <v>0</v>
      </c>
      <c r="I27" s="11">
        <f t="shared" si="15"/>
        <v>0</v>
      </c>
      <c r="J27" s="11">
        <f t="shared" si="15"/>
        <v>0</v>
      </c>
      <c r="K27" s="11">
        <f t="shared" si="15"/>
        <v>0</v>
      </c>
      <c r="L27" s="41" t="e">
        <f t="shared" si="2"/>
        <v>#DIV/0!</v>
      </c>
      <c r="M27" s="5"/>
    </row>
    <row r="28" spans="1:13" ht="18" customHeight="1">
      <c r="A28" s="108" t="s">
        <v>655</v>
      </c>
      <c r="B28" s="11">
        <f>'[4]13-2)营业成本预算表（农场后勤服务)'!B28</f>
        <v>0</v>
      </c>
      <c r="C28" s="11">
        <f>'[4]13-2)营业成本预算表（农场后勤服务)'!C28</f>
        <v>0</v>
      </c>
      <c r="D28" s="11">
        <f>'[4]13-2)营业成本预算表（农场后勤服务)'!D28</f>
        <v>0</v>
      </c>
      <c r="E28" s="11">
        <f aca="true" t="shared" si="16" ref="E28:E31">C28+D28</f>
        <v>0</v>
      </c>
      <c r="F28" s="40" t="e">
        <f t="shared" si="1"/>
        <v>#DIV/0!</v>
      </c>
      <c r="G28" s="11">
        <f aca="true" t="shared" si="17" ref="G28:G31">SUM(H28:K28)</f>
        <v>0</v>
      </c>
      <c r="H28" s="11">
        <f>'[4]13-2)营业成本预算表（农场后勤服务)'!H28</f>
        <v>0</v>
      </c>
      <c r="I28" s="11">
        <f>'[4]13-2)营业成本预算表（农场后勤服务)'!I28</f>
        <v>0</v>
      </c>
      <c r="J28" s="11">
        <f>'[4]13-2)营业成本预算表（农场后勤服务)'!J28</f>
        <v>0</v>
      </c>
      <c r="K28" s="11">
        <f>'[4]13-2)营业成本预算表（农场后勤服务)'!K28</f>
        <v>0</v>
      </c>
      <c r="L28" s="41" t="e">
        <f t="shared" si="2"/>
        <v>#DIV/0!</v>
      </c>
      <c r="M28" s="5"/>
    </row>
    <row r="29" spans="1:13" ht="18" customHeight="1">
      <c r="A29" s="108" t="s">
        <v>656</v>
      </c>
      <c r="B29" s="11">
        <f>'[4]13-2)营业成本预算表（农场后勤服务)'!B29</f>
        <v>0</v>
      </c>
      <c r="C29" s="11">
        <f>'[4]13-2)营业成本预算表（农场后勤服务)'!C29</f>
        <v>0</v>
      </c>
      <c r="D29" s="11">
        <f>'[4]13-2)营业成本预算表（农场后勤服务)'!D29</f>
        <v>0</v>
      </c>
      <c r="E29" s="11">
        <f t="shared" si="16"/>
        <v>0</v>
      </c>
      <c r="F29" s="40" t="e">
        <f t="shared" si="1"/>
        <v>#DIV/0!</v>
      </c>
      <c r="G29" s="11">
        <f t="shared" si="17"/>
        <v>0</v>
      </c>
      <c r="H29" s="11">
        <f>'[4]13-2)营业成本预算表（农场后勤服务)'!H29</f>
        <v>0</v>
      </c>
      <c r="I29" s="11">
        <f>'[4]13-2)营业成本预算表（农场后勤服务)'!I29</f>
        <v>0</v>
      </c>
      <c r="J29" s="11">
        <f>'[4]13-2)营业成本预算表（农场后勤服务)'!J29</f>
        <v>0</v>
      </c>
      <c r="K29" s="11">
        <f>'[4]13-2)营业成本预算表（农场后勤服务)'!K29</f>
        <v>0</v>
      </c>
      <c r="L29" s="41" t="e">
        <f t="shared" si="2"/>
        <v>#DIV/0!</v>
      </c>
      <c r="M29" s="5"/>
    </row>
    <row r="30" spans="1:13" ht="18" customHeight="1">
      <c r="A30" s="108" t="s">
        <v>657</v>
      </c>
      <c r="B30" s="11">
        <f>'[4]13-2)营业成本预算表（农场后勤服务)'!B30</f>
        <v>0</v>
      </c>
      <c r="C30" s="11">
        <f>'[4]13-2)营业成本预算表（农场后勤服务)'!C30</f>
        <v>0</v>
      </c>
      <c r="D30" s="11">
        <f>'[4]13-2)营业成本预算表（农场后勤服务)'!D30</f>
        <v>0</v>
      </c>
      <c r="E30" s="11">
        <f t="shared" si="16"/>
        <v>0</v>
      </c>
      <c r="F30" s="40" t="e">
        <f t="shared" si="1"/>
        <v>#DIV/0!</v>
      </c>
      <c r="G30" s="11">
        <f t="shared" si="17"/>
        <v>0</v>
      </c>
      <c r="H30" s="11">
        <f>'[4]13-2)营业成本预算表（农场后勤服务)'!H30</f>
        <v>0</v>
      </c>
      <c r="I30" s="11">
        <f>'[4]13-2)营业成本预算表（农场后勤服务)'!I30</f>
        <v>0</v>
      </c>
      <c r="J30" s="11">
        <f>'[4]13-2)营业成本预算表（农场后勤服务)'!J30</f>
        <v>0</v>
      </c>
      <c r="K30" s="11">
        <f>'[4]13-2)营业成本预算表（农场后勤服务)'!K30</f>
        <v>0</v>
      </c>
      <c r="L30" s="41" t="e">
        <f t="shared" si="2"/>
        <v>#DIV/0!</v>
      </c>
      <c r="M30" s="5"/>
    </row>
    <row r="31" spans="1:13" ht="18" customHeight="1">
      <c r="A31" s="108" t="s">
        <v>658</v>
      </c>
      <c r="B31" s="11">
        <f>'[4]13-2)营业成本预算表（农场后勤服务)'!B31</f>
        <v>0</v>
      </c>
      <c r="C31" s="11">
        <f>'[4]13-2)营业成本预算表（农场后勤服务)'!C31</f>
        <v>0</v>
      </c>
      <c r="D31" s="11">
        <f>'[4]13-2)营业成本预算表（农场后勤服务)'!D31</f>
        <v>0</v>
      </c>
      <c r="E31" s="11">
        <f t="shared" si="16"/>
        <v>0</v>
      </c>
      <c r="F31" s="40" t="e">
        <f t="shared" si="1"/>
        <v>#DIV/0!</v>
      </c>
      <c r="G31" s="11">
        <f t="shared" si="17"/>
        <v>0</v>
      </c>
      <c r="H31" s="11">
        <f>'[4]13-2)营业成本预算表（农场后勤服务)'!H31</f>
        <v>0</v>
      </c>
      <c r="I31" s="11">
        <f>'[4]13-2)营业成本预算表（农场后勤服务)'!I31</f>
        <v>0</v>
      </c>
      <c r="J31" s="11">
        <f>'[4]13-2)营业成本预算表（农场后勤服务)'!J31</f>
        <v>0</v>
      </c>
      <c r="K31" s="11">
        <f>'[4]13-2)营业成本预算表（农场后勤服务)'!K31</f>
        <v>0</v>
      </c>
      <c r="L31" s="41" t="e">
        <f t="shared" si="2"/>
        <v>#DIV/0!</v>
      </c>
      <c r="M31" s="5"/>
    </row>
    <row r="32" spans="1:13" ht="18" customHeight="1">
      <c r="A32" s="25" t="s">
        <v>659</v>
      </c>
      <c r="B32" s="26">
        <f aca="true" t="shared" si="18" ref="B32:K32">SUM(B33:B42)</f>
        <v>19300</v>
      </c>
      <c r="C32" s="26">
        <f t="shared" si="18"/>
        <v>7093.139999999999</v>
      </c>
      <c r="D32" s="26">
        <f t="shared" si="18"/>
        <v>1700</v>
      </c>
      <c r="E32" s="26">
        <f t="shared" si="18"/>
        <v>8793.14</v>
      </c>
      <c r="F32" s="40">
        <f t="shared" si="1"/>
        <v>0.45560310880829014</v>
      </c>
      <c r="G32" s="26">
        <f t="shared" si="18"/>
        <v>17660</v>
      </c>
      <c r="H32" s="26">
        <f t="shared" si="18"/>
        <v>4415</v>
      </c>
      <c r="I32" s="26">
        <f t="shared" si="18"/>
        <v>4415</v>
      </c>
      <c r="J32" s="26">
        <f t="shared" si="18"/>
        <v>4415</v>
      </c>
      <c r="K32" s="26">
        <f t="shared" si="18"/>
        <v>4415</v>
      </c>
      <c r="L32" s="41">
        <f t="shared" si="2"/>
        <v>2.0083838082869145</v>
      </c>
      <c r="M32" s="5"/>
    </row>
    <row r="33" spans="1:13" ht="18" customHeight="1">
      <c r="A33" s="25" t="s">
        <v>660</v>
      </c>
      <c r="B33" s="11">
        <f>'[4]13-2)营业成本预算表（农场后勤服务)'!B33</f>
        <v>500</v>
      </c>
      <c r="C33" s="11">
        <f>'[4]13-2)营业成本预算表（农场后勤服务)'!C33</f>
        <v>449</v>
      </c>
      <c r="D33" s="11">
        <f>'[4]13-2)营业成本预算表（农场后勤服务)'!D33</f>
        <v>0</v>
      </c>
      <c r="E33" s="11">
        <f aca="true" t="shared" si="19" ref="E33:E42">C33+D33</f>
        <v>449</v>
      </c>
      <c r="F33" s="40">
        <f t="shared" si="1"/>
        <v>0.898</v>
      </c>
      <c r="G33" s="11">
        <f aca="true" t="shared" si="20" ref="G33:G42">SUM(H33:K33)</f>
        <v>500</v>
      </c>
      <c r="H33" s="11">
        <f>'[4]13-2)营业成本预算表（农场后勤服务)'!H33</f>
        <v>125</v>
      </c>
      <c r="I33" s="11">
        <f>'[4]13-2)营业成本预算表（农场后勤服务)'!I33</f>
        <v>125</v>
      </c>
      <c r="J33" s="11">
        <f>'[4]13-2)营业成本预算表（农场后勤服务)'!J33</f>
        <v>125</v>
      </c>
      <c r="K33" s="11">
        <f>'[4]13-2)营业成本预算表（农场后勤服务)'!K33</f>
        <v>125</v>
      </c>
      <c r="L33" s="41">
        <f t="shared" si="2"/>
        <v>1.1135857461024499</v>
      </c>
      <c r="M33" s="5"/>
    </row>
    <row r="34" spans="1:13" ht="18" customHeight="1">
      <c r="A34" s="25" t="s">
        <v>661</v>
      </c>
      <c r="B34" s="11">
        <f>'[4]13-2)营业成本预算表（农场后勤服务)'!B34</f>
        <v>0</v>
      </c>
      <c r="C34" s="11">
        <f>'[4]13-2)营业成本预算表（农场后勤服务)'!C34</f>
        <v>0</v>
      </c>
      <c r="D34" s="11">
        <f>'[4]13-2)营业成本预算表（农场后勤服务)'!D34</f>
        <v>0</v>
      </c>
      <c r="E34" s="11">
        <f t="shared" si="19"/>
        <v>0</v>
      </c>
      <c r="F34" s="40" t="e">
        <f t="shared" si="1"/>
        <v>#DIV/0!</v>
      </c>
      <c r="G34" s="11">
        <f t="shared" si="20"/>
        <v>560</v>
      </c>
      <c r="H34" s="11">
        <f>'[4]13-2)营业成本预算表（农场后勤服务)'!H34</f>
        <v>140</v>
      </c>
      <c r="I34" s="11">
        <f>'[4]13-2)营业成本预算表（农场后勤服务)'!I34</f>
        <v>140</v>
      </c>
      <c r="J34" s="11">
        <f>'[4]13-2)营业成本预算表（农场后勤服务)'!J34</f>
        <v>140</v>
      </c>
      <c r="K34" s="11">
        <f>'[4]13-2)营业成本预算表（农场后勤服务)'!K34</f>
        <v>140</v>
      </c>
      <c r="L34" s="41" t="e">
        <f t="shared" si="2"/>
        <v>#DIV/0!</v>
      </c>
      <c r="M34" s="5"/>
    </row>
    <row r="35" spans="1:13" ht="18" customHeight="1">
      <c r="A35" s="25" t="s">
        <v>662</v>
      </c>
      <c r="B35" s="11">
        <f>'[4]13-2)营业成本预算表（农场后勤服务)'!B35</f>
        <v>0</v>
      </c>
      <c r="C35" s="11">
        <f>'[4]13-2)营业成本预算表（农场后勤服务)'!C35</f>
        <v>0</v>
      </c>
      <c r="D35" s="11">
        <f>'[4]13-2)营业成本预算表（农场后勤服务)'!D35</f>
        <v>0</v>
      </c>
      <c r="E35" s="11">
        <f t="shared" si="19"/>
        <v>0</v>
      </c>
      <c r="F35" s="40" t="e">
        <f t="shared" si="1"/>
        <v>#DIV/0!</v>
      </c>
      <c r="G35" s="11">
        <f t="shared" si="20"/>
        <v>0</v>
      </c>
      <c r="H35" s="11">
        <f>'[4]13-2)营业成本预算表（农场后勤服务)'!H35</f>
        <v>0</v>
      </c>
      <c r="I35" s="11">
        <f>'[4]13-2)营业成本预算表（农场后勤服务)'!I35</f>
        <v>0</v>
      </c>
      <c r="J35" s="11">
        <f>'[4]13-2)营业成本预算表（农场后勤服务)'!J35</f>
        <v>0</v>
      </c>
      <c r="K35" s="11">
        <f>'[4]13-2)营业成本预算表（农场后勤服务)'!K35</f>
        <v>0</v>
      </c>
      <c r="L35" s="41" t="e">
        <f t="shared" si="2"/>
        <v>#DIV/0!</v>
      </c>
      <c r="M35" s="5"/>
    </row>
    <row r="36" spans="1:13" ht="18" customHeight="1">
      <c r="A36" s="25" t="s">
        <v>663</v>
      </c>
      <c r="B36" s="11">
        <f>'[4]13-2)营业成本预算表（农场后勤服务)'!B36</f>
        <v>0</v>
      </c>
      <c r="C36" s="11">
        <f>'[4]13-2)营业成本预算表（农场后勤服务)'!C36</f>
        <v>0</v>
      </c>
      <c r="D36" s="11">
        <f>'[4]13-2)营业成本预算表（农场后勤服务)'!D36</f>
        <v>0</v>
      </c>
      <c r="E36" s="11">
        <f t="shared" si="19"/>
        <v>0</v>
      </c>
      <c r="F36" s="40" t="e">
        <f t="shared" si="1"/>
        <v>#DIV/0!</v>
      </c>
      <c r="G36" s="11">
        <f t="shared" si="20"/>
        <v>5400</v>
      </c>
      <c r="H36" s="11">
        <f>'[4]13-2)营业成本预算表（农场后勤服务)'!H36</f>
        <v>1350</v>
      </c>
      <c r="I36" s="11">
        <f>'[4]13-2)营业成本预算表（农场后勤服务)'!I36</f>
        <v>1350</v>
      </c>
      <c r="J36" s="11">
        <f>'[4]13-2)营业成本预算表（农场后勤服务)'!J36</f>
        <v>1350</v>
      </c>
      <c r="K36" s="11">
        <f>'[4]13-2)营业成本预算表（农场后勤服务)'!K36</f>
        <v>1350</v>
      </c>
      <c r="L36" s="41" t="e">
        <f t="shared" si="2"/>
        <v>#DIV/0!</v>
      </c>
      <c r="M36" s="5"/>
    </row>
    <row r="37" spans="1:13" ht="18" customHeight="1">
      <c r="A37" s="25" t="s">
        <v>664</v>
      </c>
      <c r="B37" s="11">
        <f>'[4]13-2)营业成本预算表（农场后勤服务)'!B37</f>
        <v>0</v>
      </c>
      <c r="C37" s="11">
        <f>'[4]13-2)营业成本预算表（农场后勤服务)'!C37</f>
        <v>357.52</v>
      </c>
      <c r="D37" s="11">
        <f>'[4]13-2)营业成本预算表（农场后勤服务)'!D37</f>
        <v>0</v>
      </c>
      <c r="E37" s="11">
        <f t="shared" si="19"/>
        <v>357.52</v>
      </c>
      <c r="F37" s="40" t="e">
        <f t="shared" si="1"/>
        <v>#DIV/0!</v>
      </c>
      <c r="G37" s="11">
        <f t="shared" si="20"/>
        <v>0</v>
      </c>
      <c r="H37" s="11">
        <f>'[4]13-2)营业成本预算表（农场后勤服务)'!H37</f>
        <v>0</v>
      </c>
      <c r="I37" s="11">
        <f>'[4]13-2)营业成本预算表（农场后勤服务)'!I37</f>
        <v>0</v>
      </c>
      <c r="J37" s="11">
        <f>'[4]13-2)营业成本预算表（农场后勤服务)'!J37</f>
        <v>0</v>
      </c>
      <c r="K37" s="11">
        <f>'[4]13-2)营业成本预算表（农场后勤服务)'!K37</f>
        <v>0</v>
      </c>
      <c r="L37" s="41">
        <f t="shared" si="2"/>
        <v>0</v>
      </c>
      <c r="M37" s="5"/>
    </row>
    <row r="38" spans="1:13" ht="18" customHeight="1">
      <c r="A38" s="25" t="s">
        <v>665</v>
      </c>
      <c r="B38" s="11">
        <f>'[4]13-2)营业成本预算表（农场后勤服务)'!B38</f>
        <v>2800</v>
      </c>
      <c r="C38" s="11">
        <f>'[4]13-2)营业成本预算表（农场后勤服务)'!C38</f>
        <v>0</v>
      </c>
      <c r="D38" s="11">
        <f>'[4]13-2)营业成本预算表（农场后勤服务)'!D38</f>
        <v>0</v>
      </c>
      <c r="E38" s="11">
        <f t="shared" si="19"/>
        <v>0</v>
      </c>
      <c r="F38" s="40">
        <f t="shared" si="1"/>
        <v>0</v>
      </c>
      <c r="G38" s="11">
        <f t="shared" si="20"/>
        <v>0</v>
      </c>
      <c r="H38" s="11">
        <f>'[4]13-2)营业成本预算表（农场后勤服务)'!H38</f>
        <v>0</v>
      </c>
      <c r="I38" s="11">
        <f>'[4]13-2)营业成本预算表（农场后勤服务)'!I38</f>
        <v>0</v>
      </c>
      <c r="J38" s="11">
        <f>'[4]13-2)营业成本预算表（农场后勤服务)'!J38</f>
        <v>0</v>
      </c>
      <c r="K38" s="11">
        <f>'[4]13-2)营业成本预算表（农场后勤服务)'!K38</f>
        <v>0</v>
      </c>
      <c r="L38" s="41" t="e">
        <f t="shared" si="2"/>
        <v>#DIV/0!</v>
      </c>
      <c r="M38" s="5"/>
    </row>
    <row r="39" spans="1:13" ht="18" customHeight="1">
      <c r="A39" s="25" t="s">
        <v>666</v>
      </c>
      <c r="B39" s="11">
        <f>'[4]13-2)营业成本预算表（农场后勤服务)'!B39</f>
        <v>0</v>
      </c>
      <c r="C39" s="11">
        <f>'[4]13-2)营业成本预算表（农场后勤服务)'!C39</f>
        <v>0</v>
      </c>
      <c r="D39" s="11">
        <f>'[4]13-2)营业成本预算表（农场后勤服务)'!D39</f>
        <v>0</v>
      </c>
      <c r="E39" s="11">
        <f t="shared" si="19"/>
        <v>0</v>
      </c>
      <c r="F39" s="40" t="e">
        <f t="shared" si="1"/>
        <v>#DIV/0!</v>
      </c>
      <c r="G39" s="11">
        <f t="shared" si="20"/>
        <v>2000</v>
      </c>
      <c r="H39" s="11">
        <f>'[4]13-2)营业成本预算表（农场后勤服务)'!H39</f>
        <v>500</v>
      </c>
      <c r="I39" s="11">
        <f>'[4]13-2)营业成本预算表（农场后勤服务)'!I39</f>
        <v>500</v>
      </c>
      <c r="J39" s="11">
        <f>'[4]13-2)营业成本预算表（农场后勤服务)'!J39</f>
        <v>500</v>
      </c>
      <c r="K39" s="11">
        <f>'[4]13-2)营业成本预算表（农场后勤服务)'!K39</f>
        <v>500</v>
      </c>
      <c r="L39" s="41" t="e">
        <f t="shared" si="2"/>
        <v>#DIV/0!</v>
      </c>
      <c r="M39" s="5"/>
    </row>
    <row r="40" spans="1:13" ht="18" customHeight="1">
      <c r="A40" s="25" t="s">
        <v>667</v>
      </c>
      <c r="B40" s="11">
        <f>'[4]13-2)营业成本预算表（农场后勤服务)'!B40</f>
        <v>4000</v>
      </c>
      <c r="C40" s="11">
        <f>'[4]13-2)营业成本预算表（农场后勤服务)'!C40</f>
        <v>0</v>
      </c>
      <c r="D40" s="11">
        <f>'[4]13-2)营业成本预算表（农场后勤服务)'!D40</f>
        <v>0</v>
      </c>
      <c r="E40" s="11">
        <f t="shared" si="19"/>
        <v>0</v>
      </c>
      <c r="F40" s="40">
        <f t="shared" si="1"/>
        <v>0</v>
      </c>
      <c r="G40" s="11">
        <f t="shared" si="20"/>
        <v>9200</v>
      </c>
      <c r="H40" s="11">
        <f>'[4]13-2)营业成本预算表（农场后勤服务)'!H40</f>
        <v>2300</v>
      </c>
      <c r="I40" s="11">
        <f>'[4]13-2)营业成本预算表（农场后勤服务)'!I40</f>
        <v>2300</v>
      </c>
      <c r="J40" s="11">
        <f>'[4]13-2)营业成本预算表（农场后勤服务)'!J40</f>
        <v>2300</v>
      </c>
      <c r="K40" s="11">
        <f>'[4]13-2)营业成本预算表（农场后勤服务)'!K40</f>
        <v>2300</v>
      </c>
      <c r="L40" s="41" t="e">
        <f t="shared" si="2"/>
        <v>#DIV/0!</v>
      </c>
      <c r="M40" s="5"/>
    </row>
    <row r="41" spans="1:13" ht="18" customHeight="1">
      <c r="A41" s="25" t="s">
        <v>668</v>
      </c>
      <c r="B41" s="11">
        <f>'[4]13-2)营业成本预算表（农场后勤服务)'!B41</f>
        <v>0</v>
      </c>
      <c r="C41" s="11">
        <f>'[4]13-2)营业成本预算表（农场后勤服务)'!C41</f>
        <v>0</v>
      </c>
      <c r="D41" s="11">
        <f>'[4]13-2)营业成本预算表（农场后勤服务)'!D41</f>
        <v>0</v>
      </c>
      <c r="E41" s="11">
        <f t="shared" si="19"/>
        <v>0</v>
      </c>
      <c r="F41" s="40" t="e">
        <f t="shared" si="1"/>
        <v>#DIV/0!</v>
      </c>
      <c r="G41" s="11">
        <f t="shared" si="20"/>
        <v>0</v>
      </c>
      <c r="H41" s="11">
        <f>'[4]13-2)营业成本预算表（农场后勤服务)'!H41</f>
        <v>0</v>
      </c>
      <c r="I41" s="11">
        <f>'[4]13-2)营业成本预算表（农场后勤服务)'!I41</f>
        <v>0</v>
      </c>
      <c r="J41" s="11">
        <f>'[4]13-2)营业成本预算表（农场后勤服务)'!J41</f>
        <v>0</v>
      </c>
      <c r="K41" s="11">
        <f>'[4]13-2)营业成本预算表（农场后勤服务)'!K41</f>
        <v>0</v>
      </c>
      <c r="L41" s="41" t="e">
        <f t="shared" si="2"/>
        <v>#DIV/0!</v>
      </c>
      <c r="M41" s="5"/>
    </row>
    <row r="42" spans="1:13" ht="18" customHeight="1">
      <c r="A42" s="25" t="s">
        <v>669</v>
      </c>
      <c r="B42" s="11">
        <f>'[4]13-2)营业成本预算表（农场后勤服务)'!B42</f>
        <v>12000</v>
      </c>
      <c r="C42" s="11">
        <f>'[4]13-2)营业成本预算表（农场后勤服务)'!C42</f>
        <v>6286.62</v>
      </c>
      <c r="D42" s="11">
        <f>'[4]13-2)营业成本预算表（农场后勤服务)'!D42</f>
        <v>1700</v>
      </c>
      <c r="E42" s="11">
        <f t="shared" si="19"/>
        <v>7986.62</v>
      </c>
      <c r="F42" s="40">
        <f t="shared" si="1"/>
        <v>0.6655516666666667</v>
      </c>
      <c r="G42" s="11">
        <f t="shared" si="20"/>
        <v>0</v>
      </c>
      <c r="H42" s="11">
        <f>'[4]13-2)营业成本预算表（农场后勤服务)'!H42</f>
        <v>0</v>
      </c>
      <c r="I42" s="11">
        <f>'[4]13-2)营业成本预算表（农场后勤服务)'!I42</f>
        <v>0</v>
      </c>
      <c r="J42" s="11">
        <f>'[4]13-2)营业成本预算表（农场后勤服务)'!J42</f>
        <v>0</v>
      </c>
      <c r="K42" s="11">
        <f>'[4]13-2)营业成本预算表（农场后勤服务)'!K42</f>
        <v>0</v>
      </c>
      <c r="L42" s="41">
        <f t="shared" si="2"/>
        <v>0</v>
      </c>
      <c r="M42" s="5"/>
    </row>
    <row r="43" spans="1:13" ht="18" customHeight="1">
      <c r="A43" s="25" t="s">
        <v>670</v>
      </c>
      <c r="B43" s="11">
        <f aca="true" t="shared" si="21" ref="B43:K43">SUM(B44:B46)</f>
        <v>509.04</v>
      </c>
      <c r="C43" s="11">
        <f t="shared" si="21"/>
        <v>0</v>
      </c>
      <c r="D43" s="11">
        <f t="shared" si="21"/>
        <v>0</v>
      </c>
      <c r="E43" s="11">
        <f t="shared" si="21"/>
        <v>0</v>
      </c>
      <c r="F43" s="40">
        <f t="shared" si="1"/>
        <v>0</v>
      </c>
      <c r="G43" s="11">
        <f t="shared" si="21"/>
        <v>6158.84</v>
      </c>
      <c r="H43" s="11">
        <f t="shared" si="21"/>
        <v>1539.71</v>
      </c>
      <c r="I43" s="11">
        <f t="shared" si="21"/>
        <v>1539.71</v>
      </c>
      <c r="J43" s="11">
        <f t="shared" si="21"/>
        <v>1539.71</v>
      </c>
      <c r="K43" s="11">
        <f t="shared" si="21"/>
        <v>1539.71</v>
      </c>
      <c r="L43" s="41" t="e">
        <f t="shared" si="2"/>
        <v>#DIV/0!</v>
      </c>
      <c r="M43" s="5"/>
    </row>
    <row r="44" spans="1:13" ht="18" customHeight="1">
      <c r="A44" s="25" t="s">
        <v>671</v>
      </c>
      <c r="B44" s="11">
        <f>'[4]13-2)营业成本预算表（农场后勤服务)'!B44</f>
        <v>509.04</v>
      </c>
      <c r="C44" s="11">
        <f>'[4]13-2)营业成本预算表（农场后勤服务)'!C44</f>
        <v>0</v>
      </c>
      <c r="D44" s="11">
        <f>'[4]13-2)营业成本预算表（农场后勤服务)'!D44</f>
        <v>0</v>
      </c>
      <c r="E44" s="11">
        <f aca="true" t="shared" si="22" ref="E44:E46">C44+D44</f>
        <v>0</v>
      </c>
      <c r="F44" s="40">
        <f t="shared" si="1"/>
        <v>0</v>
      </c>
      <c r="G44" s="11">
        <f aca="true" t="shared" si="23" ref="G44:G46">SUM(H44:K44)</f>
        <v>1158.84</v>
      </c>
      <c r="H44" s="11">
        <f>'[4]13-2)营业成本预算表（农场后勤服务)'!H44</f>
        <v>289.71</v>
      </c>
      <c r="I44" s="11">
        <f>'[4]13-2)营业成本预算表（农场后勤服务)'!I44</f>
        <v>289.71</v>
      </c>
      <c r="J44" s="11">
        <f>'[4]13-2)营业成本预算表（农场后勤服务)'!J44</f>
        <v>289.71</v>
      </c>
      <c r="K44" s="11">
        <f>'[4]13-2)营业成本预算表（农场后勤服务)'!K44</f>
        <v>289.71</v>
      </c>
      <c r="L44" s="41" t="e">
        <f t="shared" si="2"/>
        <v>#DIV/0!</v>
      </c>
      <c r="M44" s="5"/>
    </row>
    <row r="45" spans="1:13" ht="18" customHeight="1">
      <c r="A45" s="25" t="s">
        <v>672</v>
      </c>
      <c r="B45" s="11">
        <f>'[4]13-2)营业成本预算表（农场后勤服务)'!B45</f>
        <v>0</v>
      </c>
      <c r="C45" s="11">
        <f>'[4]13-2)营业成本预算表（农场后勤服务)'!C45</f>
        <v>0</v>
      </c>
      <c r="D45" s="11">
        <f>'[4]13-2)营业成本预算表（农场后勤服务)'!D45</f>
        <v>0</v>
      </c>
      <c r="E45" s="11">
        <f t="shared" si="22"/>
        <v>0</v>
      </c>
      <c r="F45" s="40" t="e">
        <f t="shared" si="1"/>
        <v>#DIV/0!</v>
      </c>
      <c r="G45" s="11">
        <f t="shared" si="23"/>
        <v>5000</v>
      </c>
      <c r="H45" s="11">
        <f>'[4]13-2)营业成本预算表（农场后勤服务)'!H45</f>
        <v>1250</v>
      </c>
      <c r="I45" s="11">
        <f>'[4]13-2)营业成本预算表（农场后勤服务)'!I45</f>
        <v>1250</v>
      </c>
      <c r="J45" s="11">
        <f>'[4]13-2)营业成本预算表（农场后勤服务)'!J45</f>
        <v>1250</v>
      </c>
      <c r="K45" s="11">
        <f>'[4]13-2)营业成本预算表（农场后勤服务)'!K45</f>
        <v>1250</v>
      </c>
      <c r="L45" s="41" t="e">
        <f t="shared" si="2"/>
        <v>#DIV/0!</v>
      </c>
      <c r="M45" s="5"/>
    </row>
    <row r="46" spans="1:13" ht="18" customHeight="1">
      <c r="A46" s="25" t="s">
        <v>673</v>
      </c>
      <c r="B46" s="11">
        <f>'[4]13-2)营业成本预算表（农场后勤服务)'!B46</f>
        <v>0</v>
      </c>
      <c r="C46" s="11">
        <f>'[4]13-2)营业成本预算表（农场后勤服务)'!C46</f>
        <v>0</v>
      </c>
      <c r="D46" s="11">
        <f>'[4]13-2)营业成本预算表（农场后勤服务)'!D46</f>
        <v>0</v>
      </c>
      <c r="E46" s="11">
        <f t="shared" si="22"/>
        <v>0</v>
      </c>
      <c r="F46" s="40" t="e">
        <f t="shared" si="1"/>
        <v>#DIV/0!</v>
      </c>
      <c r="G46" s="11">
        <f t="shared" si="23"/>
        <v>0</v>
      </c>
      <c r="H46" s="11">
        <f>'[4]13-2)营业成本预算表（农场后勤服务)'!H46</f>
        <v>0</v>
      </c>
      <c r="I46" s="11">
        <f>'[4]13-2)营业成本预算表（农场后勤服务)'!I46</f>
        <v>0</v>
      </c>
      <c r="J46" s="11">
        <f>'[4]13-2)营业成本预算表（农场后勤服务)'!J46</f>
        <v>0</v>
      </c>
      <c r="K46" s="11">
        <f>'[4]13-2)营业成本预算表（农场后勤服务)'!K46</f>
        <v>0</v>
      </c>
      <c r="L46" s="41" t="e">
        <f t="shared" si="2"/>
        <v>#DIV/0!</v>
      </c>
      <c r="M46" s="5"/>
    </row>
    <row r="47" spans="1:13" ht="18" customHeight="1">
      <c r="A47" s="25" t="s">
        <v>674</v>
      </c>
      <c r="B47" s="11"/>
      <c r="C47" s="12"/>
      <c r="D47" s="12"/>
      <c r="E47" s="11"/>
      <c r="F47" s="40"/>
      <c r="G47" s="11"/>
      <c r="H47" s="12"/>
      <c r="I47" s="12"/>
      <c r="J47" s="12"/>
      <c r="K47" s="12"/>
      <c r="L47" s="41"/>
      <c r="M47" s="5"/>
    </row>
    <row r="48" spans="1:13" ht="18" customHeight="1">
      <c r="A48" s="25" t="s">
        <v>628</v>
      </c>
      <c r="B48" s="11"/>
      <c r="C48" s="12"/>
      <c r="D48" s="12"/>
      <c r="E48" s="11"/>
      <c r="F48" s="40"/>
      <c r="G48" s="11"/>
      <c r="H48" s="12"/>
      <c r="I48" s="12"/>
      <c r="J48" s="12"/>
      <c r="K48" s="12"/>
      <c r="L48" s="41"/>
      <c r="M48" s="5"/>
    </row>
    <row r="49" spans="1:13" ht="18" customHeight="1">
      <c r="A49" s="25"/>
      <c r="B49" s="11"/>
      <c r="C49" s="12"/>
      <c r="D49" s="12"/>
      <c r="E49" s="11"/>
      <c r="F49" s="40"/>
      <c r="G49" s="11"/>
      <c r="H49" s="12"/>
      <c r="I49" s="12"/>
      <c r="J49" s="12"/>
      <c r="K49" s="12"/>
      <c r="L49" s="41"/>
      <c r="M49" s="5"/>
    </row>
    <row r="50" spans="1:13" ht="18" customHeight="1">
      <c r="A50" s="5"/>
      <c r="B50" s="5"/>
      <c r="C50" s="16"/>
      <c r="D50" s="4" t="s">
        <v>629</v>
      </c>
      <c r="E50" s="5"/>
      <c r="F50" s="5"/>
      <c r="G50" s="5"/>
      <c r="H50" s="16"/>
      <c r="I50" s="17" t="s">
        <v>630</v>
      </c>
      <c r="J50" s="5"/>
      <c r="K50" s="5"/>
      <c r="L50" s="5"/>
      <c r="M50" s="5"/>
    </row>
  </sheetData>
  <sheetProtection/>
  <mergeCells count="6">
    <mergeCell ref="A1:M1"/>
    <mergeCell ref="B3:F3"/>
    <mergeCell ref="G3:K3"/>
    <mergeCell ref="A3:A4"/>
    <mergeCell ref="L3:L4"/>
    <mergeCell ref="M3:M4"/>
  </mergeCells>
  <printOptions/>
  <pageMargins left="1.18" right="0.19" top="0.55" bottom="0.39" header="0.28" footer="0.16"/>
  <pageSetup fitToHeight="1" fitToWidth="1" horizontalDpi="300" verticalDpi="300" orientation="landscape" paperSize="9" scale="76"/>
</worksheet>
</file>

<file path=xl/worksheets/sheet28.xml><?xml version="1.0" encoding="utf-8"?>
<worksheet xmlns="http://schemas.openxmlformats.org/spreadsheetml/2006/main" xmlns:r="http://schemas.openxmlformats.org/officeDocument/2006/relationships">
  <sheetPr>
    <pageSetUpPr fitToPage="1"/>
  </sheetPr>
  <dimension ref="A1:M50"/>
  <sheetViews>
    <sheetView workbookViewId="0" topLeftCell="A1">
      <selection activeCell="S8" sqref="S8"/>
    </sheetView>
  </sheetViews>
  <sheetFormatPr defaultColWidth="9.140625" defaultRowHeight="12.75"/>
  <cols>
    <col min="1" max="1" width="30.28125" style="0" customWidth="1"/>
    <col min="2" max="2" width="13.140625" style="0" customWidth="1"/>
    <col min="3" max="3" width="10.7109375" style="0" customWidth="1"/>
    <col min="4" max="4" width="11.7109375" style="0" customWidth="1"/>
    <col min="5" max="6" width="10.7109375" style="0" customWidth="1"/>
    <col min="7" max="11" width="13.7109375" style="0" customWidth="1"/>
    <col min="12" max="13" width="10.7109375" style="0" customWidth="1"/>
  </cols>
  <sheetData>
    <row r="1" spans="1:13" ht="25.5" customHeight="1">
      <c r="A1" s="105" t="s">
        <v>705</v>
      </c>
      <c r="B1" s="23"/>
      <c r="C1" s="23"/>
      <c r="D1" s="23"/>
      <c r="E1" s="23"/>
      <c r="F1" s="23"/>
      <c r="G1" s="23"/>
      <c r="H1" s="23"/>
      <c r="I1" s="23"/>
      <c r="J1" s="23"/>
      <c r="K1" s="23"/>
      <c r="L1" s="23"/>
      <c r="M1" s="23"/>
    </row>
    <row r="2" spans="1:13" ht="18" customHeight="1">
      <c r="A2" s="106" t="s">
        <v>364</v>
      </c>
      <c r="B2" s="107"/>
      <c r="C2" s="45"/>
      <c r="D2" s="46"/>
      <c r="E2" s="47"/>
      <c r="F2" s="55"/>
      <c r="G2" s="24" t="s">
        <v>288</v>
      </c>
      <c r="H2" s="5"/>
      <c r="I2" s="5"/>
      <c r="J2" s="5"/>
      <c r="K2" s="5"/>
      <c r="L2" s="16" t="s">
        <v>599</v>
      </c>
      <c r="M2" s="5"/>
    </row>
    <row r="3" spans="1:13" ht="18" customHeight="1">
      <c r="A3" s="18" t="s">
        <v>290</v>
      </c>
      <c r="B3" s="90" t="s">
        <v>366</v>
      </c>
      <c r="C3" s="38"/>
      <c r="D3" s="38"/>
      <c r="E3" s="38"/>
      <c r="F3" s="39"/>
      <c r="G3" s="9" t="s">
        <v>292</v>
      </c>
      <c r="H3" s="9" t="s">
        <v>292</v>
      </c>
      <c r="I3" s="9" t="s">
        <v>292</v>
      </c>
      <c r="J3" s="9" t="s">
        <v>292</v>
      </c>
      <c r="K3" s="9" t="s">
        <v>292</v>
      </c>
      <c r="L3" s="9" t="s">
        <v>293</v>
      </c>
      <c r="M3" s="18" t="s">
        <v>33</v>
      </c>
    </row>
    <row r="4" spans="1:13" ht="18" customHeight="1">
      <c r="A4" s="18" t="s">
        <v>290</v>
      </c>
      <c r="B4" s="9" t="s">
        <v>294</v>
      </c>
      <c r="C4" s="9" t="s">
        <v>463</v>
      </c>
      <c r="D4" s="9" t="s">
        <v>296</v>
      </c>
      <c r="E4" s="9" t="s">
        <v>464</v>
      </c>
      <c r="F4" s="9" t="s">
        <v>299</v>
      </c>
      <c r="G4" s="9" t="s">
        <v>314</v>
      </c>
      <c r="H4" s="9" t="s">
        <v>324</v>
      </c>
      <c r="I4" s="9" t="s">
        <v>331</v>
      </c>
      <c r="J4" s="9" t="s">
        <v>334</v>
      </c>
      <c r="K4" s="9" t="s">
        <v>336</v>
      </c>
      <c r="L4" s="9" t="s">
        <v>293</v>
      </c>
      <c r="M4" s="18" t="s">
        <v>33</v>
      </c>
    </row>
    <row r="5" spans="1:13" ht="18" customHeight="1">
      <c r="A5" s="25" t="s">
        <v>691</v>
      </c>
      <c r="B5" s="11">
        <f aca="true" t="shared" si="0" ref="B5:K5">B6+B32+B43</f>
        <v>0</v>
      </c>
      <c r="C5" s="11">
        <f t="shared" si="0"/>
        <v>379074.31</v>
      </c>
      <c r="D5" s="11">
        <f t="shared" si="0"/>
        <v>24899.760000000002</v>
      </c>
      <c r="E5" s="11">
        <f t="shared" si="0"/>
        <v>403974.06999999995</v>
      </c>
      <c r="F5" s="40" t="e">
        <f aca="true" t="shared" si="1" ref="F5:F46">E5/B5</f>
        <v>#DIV/0!</v>
      </c>
      <c r="G5" s="11">
        <f t="shared" si="0"/>
        <v>141652.14</v>
      </c>
      <c r="H5" s="11">
        <f t="shared" si="0"/>
        <v>141652.14</v>
      </c>
      <c r="I5" s="11">
        <f t="shared" si="0"/>
        <v>0</v>
      </c>
      <c r="J5" s="11">
        <f t="shared" si="0"/>
        <v>0</v>
      </c>
      <c r="K5" s="11">
        <f t="shared" si="0"/>
        <v>0</v>
      </c>
      <c r="L5" s="41">
        <f aca="true" t="shared" si="2" ref="L5:L46">G5/E5</f>
        <v>0.35064661452157075</v>
      </c>
      <c r="M5" s="5"/>
    </row>
    <row r="6" spans="1:13" ht="18" customHeight="1">
      <c r="A6" s="25" t="s">
        <v>633</v>
      </c>
      <c r="B6" s="11">
        <f aca="true" t="shared" si="3" ref="B6:K6">B7+B26+B27</f>
        <v>0</v>
      </c>
      <c r="C6" s="11">
        <f t="shared" si="3"/>
        <v>333030.02</v>
      </c>
      <c r="D6" s="11">
        <f t="shared" si="3"/>
        <v>24899.760000000002</v>
      </c>
      <c r="E6" s="11">
        <f t="shared" si="3"/>
        <v>357929.77999999997</v>
      </c>
      <c r="F6" s="40" t="e">
        <f t="shared" si="1"/>
        <v>#DIV/0!</v>
      </c>
      <c r="G6" s="11">
        <f t="shared" si="3"/>
        <v>140852.14</v>
      </c>
      <c r="H6" s="11">
        <f t="shared" si="3"/>
        <v>140852.14</v>
      </c>
      <c r="I6" s="11">
        <f t="shared" si="3"/>
        <v>0</v>
      </c>
      <c r="J6" s="11">
        <f t="shared" si="3"/>
        <v>0</v>
      </c>
      <c r="K6" s="11">
        <f t="shared" si="3"/>
        <v>0</v>
      </c>
      <c r="L6" s="41">
        <f t="shared" si="2"/>
        <v>0.39351891871081535</v>
      </c>
      <c r="M6" s="5"/>
    </row>
    <row r="7" spans="1:13" ht="18" customHeight="1">
      <c r="A7" s="72" t="s">
        <v>634</v>
      </c>
      <c r="B7" s="11">
        <f aca="true" t="shared" si="4" ref="B7:K7">B8+B16+B20+B23+B24+B25</f>
        <v>0</v>
      </c>
      <c r="C7" s="11">
        <f t="shared" si="4"/>
        <v>216536.02</v>
      </c>
      <c r="D7" s="11">
        <f t="shared" si="4"/>
        <v>24899.760000000002</v>
      </c>
      <c r="E7" s="11">
        <f t="shared" si="4"/>
        <v>241435.77999999997</v>
      </c>
      <c r="F7" s="40" t="e">
        <f t="shared" si="1"/>
        <v>#DIV/0!</v>
      </c>
      <c r="G7" s="11">
        <f t="shared" si="4"/>
        <v>125852.14</v>
      </c>
      <c r="H7" s="11">
        <f t="shared" si="4"/>
        <v>125852.14</v>
      </c>
      <c r="I7" s="11">
        <f t="shared" si="4"/>
        <v>0</v>
      </c>
      <c r="J7" s="11">
        <f t="shared" si="4"/>
        <v>0</v>
      </c>
      <c r="K7" s="11">
        <f t="shared" si="4"/>
        <v>0</v>
      </c>
      <c r="L7" s="41">
        <f t="shared" si="2"/>
        <v>0.5212654893156268</v>
      </c>
      <c r="M7" s="5"/>
    </row>
    <row r="8" spans="1:13" ht="18" customHeight="1">
      <c r="A8" s="72" t="s">
        <v>635</v>
      </c>
      <c r="B8" s="11">
        <f aca="true" t="shared" si="5" ref="B8:K8">B9+B10+B14+B15</f>
        <v>0</v>
      </c>
      <c r="C8" s="11">
        <f t="shared" si="5"/>
        <v>140014</v>
      </c>
      <c r="D8" s="11">
        <f t="shared" si="5"/>
        <v>16380</v>
      </c>
      <c r="E8" s="11">
        <f t="shared" si="5"/>
        <v>156394</v>
      </c>
      <c r="F8" s="40" t="e">
        <f t="shared" si="1"/>
        <v>#DIV/0!</v>
      </c>
      <c r="G8" s="11">
        <f t="shared" si="5"/>
        <v>87436</v>
      </c>
      <c r="H8" s="11">
        <f t="shared" si="5"/>
        <v>87436</v>
      </c>
      <c r="I8" s="11">
        <f t="shared" si="5"/>
        <v>0</v>
      </c>
      <c r="J8" s="11">
        <f t="shared" si="5"/>
        <v>0</v>
      </c>
      <c r="K8" s="11">
        <f t="shared" si="5"/>
        <v>0</v>
      </c>
      <c r="L8" s="41">
        <f t="shared" si="2"/>
        <v>0.5590751563359209</v>
      </c>
      <c r="M8" s="5"/>
    </row>
    <row r="9" spans="1:13" ht="18" customHeight="1">
      <c r="A9" s="72" t="s">
        <v>636</v>
      </c>
      <c r="B9" s="11">
        <f>'[4]13.-2营业成本预算表（综合培训基地）'!B9</f>
        <v>0</v>
      </c>
      <c r="C9" s="11">
        <f>'[4]13.-2营业成本预算表（综合培训基地）'!C9</f>
        <v>110244</v>
      </c>
      <c r="D9" s="11">
        <f>'[4]13.-2营业成本预算表（综合培训基地）'!D9</f>
        <v>14400</v>
      </c>
      <c r="E9" s="11">
        <f aca="true" t="shared" si="6" ref="E9:E15">C9+D9</f>
        <v>124644</v>
      </c>
      <c r="F9" s="40" t="e">
        <f t="shared" si="1"/>
        <v>#DIV/0!</v>
      </c>
      <c r="G9" s="11">
        <f aca="true" t="shared" si="7" ref="G9:G15">SUM(H9:K9)</f>
        <v>62820</v>
      </c>
      <c r="H9" s="11">
        <f>'[4]13.-2营业成本预算表（综合培训基地）'!H9</f>
        <v>62820</v>
      </c>
      <c r="I9" s="11">
        <f>'[4]13.-2营业成本预算表（综合培训基地）'!I9</f>
        <v>0</v>
      </c>
      <c r="J9" s="11">
        <f>'[4]13.-2营业成本预算表（综合培训基地）'!J9</f>
        <v>0</v>
      </c>
      <c r="K9" s="11">
        <f>'[4]13.-2营业成本预算表（综合培训基地）'!K9</f>
        <v>0</v>
      </c>
      <c r="L9" s="41">
        <f t="shared" si="2"/>
        <v>0.5039953788389333</v>
      </c>
      <c r="M9" s="5"/>
    </row>
    <row r="10" spans="1:13" ht="18" customHeight="1">
      <c r="A10" s="72" t="s">
        <v>637</v>
      </c>
      <c r="B10" s="11">
        <f aca="true" t="shared" si="8" ref="B10:K10">SUM(B11:B13)</f>
        <v>0</v>
      </c>
      <c r="C10" s="11">
        <f t="shared" si="8"/>
        <v>12750</v>
      </c>
      <c r="D10" s="11">
        <f t="shared" si="8"/>
        <v>1500</v>
      </c>
      <c r="E10" s="11">
        <f t="shared" si="8"/>
        <v>14250</v>
      </c>
      <c r="F10" s="40" t="e">
        <f t="shared" si="1"/>
        <v>#DIV/0!</v>
      </c>
      <c r="G10" s="11">
        <f t="shared" si="8"/>
        <v>15850</v>
      </c>
      <c r="H10" s="11">
        <f t="shared" si="8"/>
        <v>15850</v>
      </c>
      <c r="I10" s="11">
        <f t="shared" si="8"/>
        <v>0</v>
      </c>
      <c r="J10" s="11">
        <f t="shared" si="8"/>
        <v>0</v>
      </c>
      <c r="K10" s="11">
        <f t="shared" si="8"/>
        <v>0</v>
      </c>
      <c r="L10" s="41">
        <f t="shared" si="2"/>
        <v>1.1122807017543859</v>
      </c>
      <c r="M10" s="5"/>
    </row>
    <row r="11" spans="1:13" ht="18" customHeight="1">
      <c r="A11" s="75" t="s">
        <v>638</v>
      </c>
      <c r="B11" s="11">
        <f>'[4]13.-2营业成本预算表（综合培训基地）'!B11</f>
        <v>0</v>
      </c>
      <c r="C11" s="11">
        <f>'[4]13.-2营业成本预算表（综合培训基地）'!C11</f>
        <v>0</v>
      </c>
      <c r="D11" s="11">
        <f>'[4]13.-2营业成本预算表（综合培训基地）'!D11</f>
        <v>0</v>
      </c>
      <c r="E11" s="11">
        <f t="shared" si="6"/>
        <v>0</v>
      </c>
      <c r="F11" s="40" t="e">
        <f t="shared" si="1"/>
        <v>#DIV/0!</v>
      </c>
      <c r="G11" s="11">
        <f t="shared" si="7"/>
        <v>0</v>
      </c>
      <c r="H11" s="11">
        <f>'[4]13.-2营业成本预算表（综合培训基地）'!H11</f>
        <v>0</v>
      </c>
      <c r="I11" s="11">
        <f>'[4]13.-2营业成本预算表（综合培训基地）'!I11</f>
        <v>0</v>
      </c>
      <c r="J11" s="11">
        <f>'[4]13.-2营业成本预算表（综合培训基地）'!J11</f>
        <v>0</v>
      </c>
      <c r="K11" s="11">
        <f>'[4]13.-2营业成本预算表（综合培训基地）'!K11</f>
        <v>0</v>
      </c>
      <c r="L11" s="41" t="e">
        <f t="shared" si="2"/>
        <v>#DIV/0!</v>
      </c>
      <c r="M11" s="5"/>
    </row>
    <row r="12" spans="1:13" ht="18" customHeight="1">
      <c r="A12" s="75" t="s">
        <v>639</v>
      </c>
      <c r="B12" s="11">
        <f>'[4]13.-2营业成本预算表（综合培训基地）'!B12</f>
        <v>0</v>
      </c>
      <c r="C12" s="11">
        <f>'[4]13.-2营业成本预算表（综合培训基地）'!C12</f>
        <v>0</v>
      </c>
      <c r="D12" s="11">
        <f>'[4]13.-2营业成本预算表（综合培训基地）'!D12</f>
        <v>0</v>
      </c>
      <c r="E12" s="11">
        <f t="shared" si="6"/>
        <v>0</v>
      </c>
      <c r="F12" s="40" t="e">
        <f t="shared" si="1"/>
        <v>#DIV/0!</v>
      </c>
      <c r="G12" s="11">
        <f t="shared" si="7"/>
        <v>5100</v>
      </c>
      <c r="H12" s="11">
        <f>'[4]13.-2营业成本预算表（综合培训基地）'!H12</f>
        <v>5100</v>
      </c>
      <c r="I12" s="11">
        <f>'[4]13.-2营业成本预算表（综合培训基地）'!I12</f>
        <v>0</v>
      </c>
      <c r="J12" s="11">
        <f>'[4]13.-2营业成本预算表（综合培训基地）'!J12</f>
        <v>0</v>
      </c>
      <c r="K12" s="11">
        <f>'[4]13.-2营业成本预算表（综合培训基地）'!K12</f>
        <v>0</v>
      </c>
      <c r="L12" s="41" t="e">
        <f t="shared" si="2"/>
        <v>#DIV/0!</v>
      </c>
      <c r="M12" s="5"/>
    </row>
    <row r="13" spans="1:13" ht="18" customHeight="1">
      <c r="A13" s="75" t="s">
        <v>640</v>
      </c>
      <c r="B13" s="11">
        <f>'[4]13.-2营业成本预算表（综合培训基地）'!B13</f>
        <v>0</v>
      </c>
      <c r="C13" s="11">
        <f>'[4]13.-2营业成本预算表（综合培训基地）'!C13</f>
        <v>12750</v>
      </c>
      <c r="D13" s="11">
        <f>'[4]13.-2营业成本预算表（综合培训基地）'!D13</f>
        <v>1500</v>
      </c>
      <c r="E13" s="11">
        <f t="shared" si="6"/>
        <v>14250</v>
      </c>
      <c r="F13" s="40" t="e">
        <f t="shared" si="1"/>
        <v>#DIV/0!</v>
      </c>
      <c r="G13" s="11">
        <f t="shared" si="7"/>
        <v>10750</v>
      </c>
      <c r="H13" s="11">
        <f>'[4]13.-2营业成本预算表（综合培训基地）'!H13</f>
        <v>10750</v>
      </c>
      <c r="I13" s="11">
        <f>'[4]13.-2营业成本预算表（综合培训基地）'!I13</f>
        <v>0</v>
      </c>
      <c r="J13" s="11">
        <f>'[4]13.-2营业成本预算表（综合培训基地）'!J13</f>
        <v>0</v>
      </c>
      <c r="K13" s="11">
        <f>'[4]13.-2营业成本预算表（综合培训基地）'!K13</f>
        <v>0</v>
      </c>
      <c r="L13" s="41">
        <f t="shared" si="2"/>
        <v>0.7543859649122807</v>
      </c>
      <c r="M13" s="5"/>
    </row>
    <row r="14" spans="1:13" ht="18" customHeight="1">
      <c r="A14" s="72" t="s">
        <v>641</v>
      </c>
      <c r="B14" s="11">
        <f>'[4]13.-2营业成本预算表（综合培训基地）'!B14</f>
        <v>0</v>
      </c>
      <c r="C14" s="11">
        <f>'[4]13.-2营业成本预算表（综合培训基地）'!C14</f>
        <v>17020</v>
      </c>
      <c r="D14" s="11">
        <f>'[4]13.-2营业成本预算表（综合培训基地）'!D14</f>
        <v>480</v>
      </c>
      <c r="E14" s="11">
        <f t="shared" si="6"/>
        <v>17500</v>
      </c>
      <c r="F14" s="40" t="e">
        <f t="shared" si="1"/>
        <v>#DIV/0!</v>
      </c>
      <c r="G14" s="11">
        <f t="shared" si="7"/>
        <v>8766</v>
      </c>
      <c r="H14" s="11">
        <f>'[4]13.-2营业成本预算表（综合培训基地）'!H14</f>
        <v>8766</v>
      </c>
      <c r="I14" s="11">
        <f>'[4]13.-2营业成本预算表（综合培训基地）'!I14</f>
        <v>0</v>
      </c>
      <c r="J14" s="11">
        <f>'[4]13.-2营业成本预算表（综合培训基地）'!J14</f>
        <v>0</v>
      </c>
      <c r="K14" s="11">
        <f>'[4]13.-2营业成本预算表（综合培训基地）'!K14</f>
        <v>0</v>
      </c>
      <c r="L14" s="41">
        <f t="shared" si="2"/>
        <v>0.5009142857142858</v>
      </c>
      <c r="M14" s="5"/>
    </row>
    <row r="15" spans="1:13" ht="18" customHeight="1">
      <c r="A15" s="72" t="s">
        <v>642</v>
      </c>
      <c r="B15" s="11">
        <f>'[4]13.-2营业成本预算表（综合培训基地）'!B15</f>
        <v>0</v>
      </c>
      <c r="C15" s="11">
        <f>'[4]13.-2营业成本预算表（综合培训基地）'!C15</f>
        <v>0</v>
      </c>
      <c r="D15" s="11">
        <f>'[4]13.-2营业成本预算表（综合培训基地）'!D15</f>
        <v>0</v>
      </c>
      <c r="E15" s="11">
        <f t="shared" si="6"/>
        <v>0</v>
      </c>
      <c r="F15" s="40" t="e">
        <f t="shared" si="1"/>
        <v>#DIV/0!</v>
      </c>
      <c r="G15" s="11">
        <f t="shared" si="7"/>
        <v>0</v>
      </c>
      <c r="H15" s="11">
        <f>'[4]13.-2营业成本预算表（综合培训基地）'!H15</f>
        <v>0</v>
      </c>
      <c r="I15" s="11">
        <f>'[4]13.-2营业成本预算表（综合培训基地）'!I15</f>
        <v>0</v>
      </c>
      <c r="J15" s="11">
        <f>'[4]13.-2营业成本预算表（综合培训基地）'!J15</f>
        <v>0</v>
      </c>
      <c r="K15" s="11">
        <f>'[4]13.-2营业成本预算表（综合培训基地）'!K15</f>
        <v>0</v>
      </c>
      <c r="L15" s="41" t="e">
        <f t="shared" si="2"/>
        <v>#DIV/0!</v>
      </c>
      <c r="M15" s="5"/>
    </row>
    <row r="16" spans="1:13" ht="18" customHeight="1">
      <c r="A16" s="72" t="s">
        <v>643</v>
      </c>
      <c r="B16" s="11">
        <f aca="true" t="shared" si="9" ref="B16:K16">SUM(B17:B19)</f>
        <v>0</v>
      </c>
      <c r="C16" s="11">
        <f t="shared" si="9"/>
        <v>3965.09</v>
      </c>
      <c r="D16" s="11">
        <f t="shared" si="9"/>
        <v>0</v>
      </c>
      <c r="E16" s="11">
        <f t="shared" si="9"/>
        <v>3965.09</v>
      </c>
      <c r="F16" s="40" t="e">
        <f t="shared" si="1"/>
        <v>#DIV/0!</v>
      </c>
      <c r="G16" s="11">
        <f t="shared" si="9"/>
        <v>0</v>
      </c>
      <c r="H16" s="11">
        <f t="shared" si="9"/>
        <v>0</v>
      </c>
      <c r="I16" s="11">
        <f t="shared" si="9"/>
        <v>0</v>
      </c>
      <c r="J16" s="11">
        <f t="shared" si="9"/>
        <v>0</v>
      </c>
      <c r="K16" s="11">
        <f t="shared" si="9"/>
        <v>0</v>
      </c>
      <c r="L16" s="41">
        <f t="shared" si="2"/>
        <v>0</v>
      </c>
      <c r="M16" s="5"/>
    </row>
    <row r="17" spans="1:13" ht="18" customHeight="1">
      <c r="A17" s="72" t="s">
        <v>644</v>
      </c>
      <c r="B17" s="11">
        <f>'[4]13.-2营业成本预算表（综合培训基地）'!B17</f>
        <v>0</v>
      </c>
      <c r="C17" s="11">
        <f>'[4]13.-2营业成本预算表（综合培训基地）'!C17</f>
        <v>0</v>
      </c>
      <c r="D17" s="11">
        <f>'[4]13.-2营业成本预算表（综合培训基地）'!D17</f>
        <v>0</v>
      </c>
      <c r="E17" s="11">
        <f aca="true" t="shared" si="10" ref="E17:E19">C17+D17</f>
        <v>0</v>
      </c>
      <c r="F17" s="40" t="e">
        <f t="shared" si="1"/>
        <v>#DIV/0!</v>
      </c>
      <c r="G17" s="11">
        <f aca="true" t="shared" si="11" ref="G17:G19">SUM(H17:K17)</f>
        <v>0</v>
      </c>
      <c r="H17" s="11">
        <f>'[4]13.-2营业成本预算表（综合培训基地）'!H17</f>
        <v>0</v>
      </c>
      <c r="I17" s="11">
        <f>'[4]13.-2营业成本预算表（综合培训基地）'!I17</f>
        <v>0</v>
      </c>
      <c r="J17" s="11">
        <f>'[4]13.-2营业成本预算表（综合培训基地）'!J17</f>
        <v>0</v>
      </c>
      <c r="K17" s="11">
        <f>'[4]13.-2营业成本预算表（综合培训基地）'!K17</f>
        <v>0</v>
      </c>
      <c r="L17" s="41" t="e">
        <f t="shared" si="2"/>
        <v>#DIV/0!</v>
      </c>
      <c r="M17" s="5"/>
    </row>
    <row r="18" spans="1:13" ht="18" customHeight="1">
      <c r="A18" s="72" t="s">
        <v>645</v>
      </c>
      <c r="B18" s="11">
        <f>'[4]13.-2营业成本预算表（综合培训基地）'!B18</f>
        <v>0</v>
      </c>
      <c r="C18" s="11">
        <f>'[4]13.-2营业成本预算表（综合培训基地）'!C18</f>
        <v>0</v>
      </c>
      <c r="D18" s="11">
        <f>'[4]13.-2营业成本预算表（综合培训基地）'!D18</f>
        <v>0</v>
      </c>
      <c r="E18" s="11">
        <f t="shared" si="10"/>
        <v>0</v>
      </c>
      <c r="F18" s="40" t="e">
        <f t="shared" si="1"/>
        <v>#DIV/0!</v>
      </c>
      <c r="G18" s="11">
        <f t="shared" si="11"/>
        <v>0</v>
      </c>
      <c r="H18" s="11">
        <f>'[4]13.-2营业成本预算表（综合培训基地）'!H18</f>
        <v>0</v>
      </c>
      <c r="I18" s="11">
        <f>'[4]13.-2营业成本预算表（综合培训基地）'!I18</f>
        <v>0</v>
      </c>
      <c r="J18" s="11">
        <f>'[4]13.-2营业成本预算表（综合培训基地）'!J18</f>
        <v>0</v>
      </c>
      <c r="K18" s="11">
        <f>'[4]13.-2营业成本预算表（综合培训基地）'!K18</f>
        <v>0</v>
      </c>
      <c r="L18" s="41" t="e">
        <f t="shared" si="2"/>
        <v>#DIV/0!</v>
      </c>
      <c r="M18" s="5"/>
    </row>
    <row r="19" spans="1:13" ht="18" customHeight="1">
      <c r="A19" s="72" t="s">
        <v>646</v>
      </c>
      <c r="B19" s="11">
        <f>'[4]13.-2营业成本预算表（综合培训基地）'!B19</f>
        <v>0</v>
      </c>
      <c r="C19" s="11">
        <f>'[4]13.-2营业成本预算表（综合培训基地）'!C19</f>
        <v>3965.09</v>
      </c>
      <c r="D19" s="11">
        <f>'[4]13.-2营业成本预算表（综合培训基地）'!D19</f>
        <v>0</v>
      </c>
      <c r="E19" s="11">
        <f t="shared" si="10"/>
        <v>3965.09</v>
      </c>
      <c r="F19" s="40" t="e">
        <f t="shared" si="1"/>
        <v>#DIV/0!</v>
      </c>
      <c r="G19" s="11">
        <f t="shared" si="11"/>
        <v>0</v>
      </c>
      <c r="H19" s="11">
        <f>'[4]13.-2营业成本预算表（综合培训基地）'!H19</f>
        <v>0</v>
      </c>
      <c r="I19" s="11">
        <f>'[4]13.-2营业成本预算表（综合培训基地）'!I19</f>
        <v>0</v>
      </c>
      <c r="J19" s="11">
        <f>'[4]13.-2营业成本预算表（综合培训基地）'!J19</f>
        <v>0</v>
      </c>
      <c r="K19" s="11">
        <f>'[4]13.-2营业成本预算表（综合培训基地）'!K19</f>
        <v>0</v>
      </c>
      <c r="L19" s="41">
        <f t="shared" si="2"/>
        <v>0</v>
      </c>
      <c r="M19" s="5"/>
    </row>
    <row r="20" spans="1:13" ht="18" customHeight="1">
      <c r="A20" s="72" t="s">
        <v>647</v>
      </c>
      <c r="B20" s="11">
        <f aca="true" t="shared" si="12" ref="B20:K20">SUM(B21:B22)</f>
        <v>0</v>
      </c>
      <c r="C20" s="11">
        <f t="shared" si="12"/>
        <v>68524.93</v>
      </c>
      <c r="D20" s="11">
        <f t="shared" si="12"/>
        <v>8015.76</v>
      </c>
      <c r="E20" s="11">
        <f t="shared" si="12"/>
        <v>76540.68999999999</v>
      </c>
      <c r="F20" s="40" t="e">
        <f t="shared" si="1"/>
        <v>#DIV/0!</v>
      </c>
      <c r="G20" s="11">
        <f t="shared" si="12"/>
        <v>32784.42</v>
      </c>
      <c r="H20" s="11">
        <f t="shared" si="12"/>
        <v>32784.42</v>
      </c>
      <c r="I20" s="11">
        <f t="shared" si="12"/>
        <v>0</v>
      </c>
      <c r="J20" s="11">
        <f t="shared" si="12"/>
        <v>0</v>
      </c>
      <c r="K20" s="11">
        <f t="shared" si="12"/>
        <v>0</v>
      </c>
      <c r="L20" s="41">
        <f t="shared" si="2"/>
        <v>0.42832668479994107</v>
      </c>
      <c r="M20" s="5"/>
    </row>
    <row r="21" spans="1:13" ht="18" customHeight="1">
      <c r="A21" s="72" t="s">
        <v>648</v>
      </c>
      <c r="B21" s="11">
        <f>'[4]13.-2营业成本预算表（综合培训基地）'!B21</f>
        <v>0</v>
      </c>
      <c r="C21" s="11">
        <f>'[4]13.-2营业成本预算表（综合培训基地）'!C21</f>
        <v>61738.03</v>
      </c>
      <c r="D21" s="11">
        <f>'[4]13.-2营业成本预算表（综合培训基地）'!D21</f>
        <v>6743.51</v>
      </c>
      <c r="E21" s="11">
        <f aca="true" t="shared" si="13" ref="E21:E26">C21+D21</f>
        <v>68481.54</v>
      </c>
      <c r="F21" s="40" t="e">
        <f t="shared" si="1"/>
        <v>#DIV/0!</v>
      </c>
      <c r="G21" s="11">
        <f aca="true" t="shared" si="14" ref="G21:G26">SUM(H21:K21)</f>
        <v>28500.96</v>
      </c>
      <c r="H21" s="11">
        <f>'[4]13.-2营业成本预算表（综合培训基地）'!H21</f>
        <v>28500.96</v>
      </c>
      <c r="I21" s="11">
        <f>'[4]13.-2营业成本预算表（综合培训基地）'!I21</f>
        <v>0</v>
      </c>
      <c r="J21" s="11">
        <f>'[4]13.-2营业成本预算表（综合培训基地）'!J21</f>
        <v>0</v>
      </c>
      <c r="K21" s="11">
        <f>'[4]13.-2营业成本预算表（综合培训基地）'!K21</f>
        <v>0</v>
      </c>
      <c r="L21" s="41">
        <f t="shared" si="2"/>
        <v>0.4161845659428804</v>
      </c>
      <c r="M21" s="5"/>
    </row>
    <row r="22" spans="1:13" ht="18" customHeight="1">
      <c r="A22" s="72" t="s">
        <v>649</v>
      </c>
      <c r="B22" s="11">
        <f>'[4]13.-2营业成本预算表（综合培训基地）'!B22</f>
        <v>0</v>
      </c>
      <c r="C22" s="11">
        <f>'[4]13.-2营业成本预算表（综合培训基地）'!C22</f>
        <v>6786.9</v>
      </c>
      <c r="D22" s="11">
        <f>'[4]13.-2营业成本预算表（综合培训基地）'!D22</f>
        <v>1272.25</v>
      </c>
      <c r="E22" s="11">
        <f t="shared" si="13"/>
        <v>8059.15</v>
      </c>
      <c r="F22" s="40" t="e">
        <f t="shared" si="1"/>
        <v>#DIV/0!</v>
      </c>
      <c r="G22" s="11">
        <f t="shared" si="14"/>
        <v>4283.460000000001</v>
      </c>
      <c r="H22" s="11">
        <f>'[4]13.-2营业成本预算表（综合培训基地）'!H22</f>
        <v>4283.460000000001</v>
      </c>
      <c r="I22" s="11">
        <f>'[4]13.-2营业成本预算表（综合培训基地）'!I22</f>
        <v>0</v>
      </c>
      <c r="J22" s="11">
        <f>'[4]13.-2营业成本预算表（综合培训基地）'!J22</f>
        <v>0</v>
      </c>
      <c r="K22" s="11">
        <f>'[4]13.-2营业成本预算表（综合培训基地）'!K22</f>
        <v>0</v>
      </c>
      <c r="L22" s="41">
        <f t="shared" si="2"/>
        <v>0.531502701897843</v>
      </c>
      <c r="M22" s="5"/>
    </row>
    <row r="23" spans="1:13" ht="18" customHeight="1">
      <c r="A23" s="72" t="s">
        <v>650</v>
      </c>
      <c r="B23" s="11">
        <f>'[4]13.-2营业成本预算表（综合培训基地）'!B23</f>
        <v>0</v>
      </c>
      <c r="C23" s="11">
        <f>'[4]13.-2营业成本预算表（综合培训基地）'!C23</f>
        <v>4032</v>
      </c>
      <c r="D23" s="11">
        <f>'[4]13.-2营业成本预算表（综合培训基地）'!D23</f>
        <v>504</v>
      </c>
      <c r="E23" s="11">
        <f t="shared" si="13"/>
        <v>4536</v>
      </c>
      <c r="F23" s="40" t="e">
        <f t="shared" si="1"/>
        <v>#DIV/0!</v>
      </c>
      <c r="G23" s="11">
        <f t="shared" si="14"/>
        <v>4605</v>
      </c>
      <c r="H23" s="11">
        <f>'[4]13.-2营业成本预算表（综合培训基地）'!H23</f>
        <v>4605</v>
      </c>
      <c r="I23" s="11">
        <f>'[4]13.-2营业成本预算表（综合培训基地）'!I23</f>
        <v>0</v>
      </c>
      <c r="J23" s="11">
        <f>'[4]13.-2营业成本预算表（综合培训基地）'!J23</f>
        <v>0</v>
      </c>
      <c r="K23" s="11">
        <f>'[4]13.-2营业成本预算表（综合培训基地）'!K23</f>
        <v>0</v>
      </c>
      <c r="L23" s="41">
        <f t="shared" si="2"/>
        <v>1.0152116402116402</v>
      </c>
      <c r="M23" s="5"/>
    </row>
    <row r="24" spans="1:13" ht="18" customHeight="1">
      <c r="A24" s="72" t="s">
        <v>651</v>
      </c>
      <c r="B24" s="11">
        <f>'[4]13.-2营业成本预算表（综合培训基地）'!B24</f>
        <v>0</v>
      </c>
      <c r="C24" s="11">
        <f>'[4]13.-2营业成本预算表（综合培训基地）'!C24</f>
        <v>0</v>
      </c>
      <c r="D24" s="11">
        <f>'[4]13.-2营业成本预算表（综合培训基地）'!D24</f>
        <v>0</v>
      </c>
      <c r="E24" s="11">
        <f t="shared" si="13"/>
        <v>0</v>
      </c>
      <c r="F24" s="40" t="e">
        <f t="shared" si="1"/>
        <v>#DIV/0!</v>
      </c>
      <c r="G24" s="11">
        <f t="shared" si="14"/>
        <v>0</v>
      </c>
      <c r="H24" s="11">
        <f>'[4]13.-2营业成本预算表（综合培训基地）'!H24</f>
        <v>0</v>
      </c>
      <c r="I24" s="11">
        <f>'[4]13.-2营业成本预算表（综合培训基地）'!I24</f>
        <v>0</v>
      </c>
      <c r="J24" s="11">
        <f>'[4]13.-2营业成本预算表（综合培训基地）'!J24</f>
        <v>0</v>
      </c>
      <c r="K24" s="11">
        <f>'[4]13.-2营业成本预算表（综合培训基地）'!K24</f>
        <v>0</v>
      </c>
      <c r="L24" s="41" t="e">
        <f t="shared" si="2"/>
        <v>#DIV/0!</v>
      </c>
      <c r="M24" s="5"/>
    </row>
    <row r="25" spans="1:13" ht="18" customHeight="1">
      <c r="A25" s="72" t="s">
        <v>652</v>
      </c>
      <c r="B25" s="11">
        <f>'[4]13.-2营业成本预算表（综合培训基地）'!B25</f>
        <v>0</v>
      </c>
      <c r="C25" s="11">
        <f>'[4]13.-2营业成本预算表（综合培训基地）'!C25</f>
        <v>0</v>
      </c>
      <c r="D25" s="11">
        <f>'[4]13.-2营业成本预算表（综合培训基地）'!D25</f>
        <v>0</v>
      </c>
      <c r="E25" s="11">
        <f t="shared" si="13"/>
        <v>0</v>
      </c>
      <c r="F25" s="40" t="e">
        <f t="shared" si="1"/>
        <v>#DIV/0!</v>
      </c>
      <c r="G25" s="11">
        <f t="shared" si="14"/>
        <v>1026.72</v>
      </c>
      <c r="H25" s="11">
        <f>'[4]13.-2营业成本预算表（综合培训基地）'!H25</f>
        <v>1026.72</v>
      </c>
      <c r="I25" s="11">
        <f>'[4]13.-2营业成本预算表（综合培训基地）'!I25</f>
        <v>0</v>
      </c>
      <c r="J25" s="11">
        <f>'[4]13.-2营业成本预算表（综合培训基地）'!J25</f>
        <v>0</v>
      </c>
      <c r="K25" s="11">
        <f>'[4]13.-2营业成本预算表（综合培训基地）'!K25</f>
        <v>0</v>
      </c>
      <c r="L25" s="41" t="e">
        <f t="shared" si="2"/>
        <v>#DIV/0!</v>
      </c>
      <c r="M25" s="5"/>
    </row>
    <row r="26" spans="1:13" ht="18" customHeight="1">
      <c r="A26" s="108" t="s">
        <v>653</v>
      </c>
      <c r="B26" s="11">
        <f>'[4]13.-2营业成本预算表（综合培训基地）'!B26</f>
        <v>0</v>
      </c>
      <c r="C26" s="11">
        <f>'[4]13.-2营业成本预算表（综合培训基地）'!C26</f>
        <v>116494</v>
      </c>
      <c r="D26" s="11">
        <f>'[4]13.-2营业成本预算表（综合培训基地）'!D26</f>
        <v>0</v>
      </c>
      <c r="E26" s="11">
        <f t="shared" si="13"/>
        <v>116494</v>
      </c>
      <c r="F26" s="40" t="e">
        <f t="shared" si="1"/>
        <v>#DIV/0!</v>
      </c>
      <c r="G26" s="11">
        <f t="shared" si="14"/>
        <v>15000</v>
      </c>
      <c r="H26" s="11">
        <f>'[4]13.-2营业成本预算表（综合培训基地）'!H26</f>
        <v>15000</v>
      </c>
      <c r="I26" s="11">
        <f>'[4]13.-2营业成本预算表（综合培训基地）'!I26</f>
        <v>0</v>
      </c>
      <c r="J26" s="11">
        <f>'[4]13.-2营业成本预算表（综合培训基地）'!J26</f>
        <v>0</v>
      </c>
      <c r="K26" s="11">
        <f>'[4]13.-2营业成本预算表（综合培训基地）'!K26</f>
        <v>0</v>
      </c>
      <c r="L26" s="41">
        <f t="shared" si="2"/>
        <v>0.12876199632599103</v>
      </c>
      <c r="M26" s="5"/>
    </row>
    <row r="27" spans="1:13" ht="18" customHeight="1">
      <c r="A27" s="108" t="s">
        <v>654</v>
      </c>
      <c r="B27" s="11">
        <f aca="true" t="shared" si="15" ref="B27:K27">SUM(B28:B31)</f>
        <v>0</v>
      </c>
      <c r="C27" s="11">
        <f t="shared" si="15"/>
        <v>0</v>
      </c>
      <c r="D27" s="11">
        <f t="shared" si="15"/>
        <v>0</v>
      </c>
      <c r="E27" s="11">
        <f t="shared" si="15"/>
        <v>0</v>
      </c>
      <c r="F27" s="40" t="e">
        <f t="shared" si="1"/>
        <v>#DIV/0!</v>
      </c>
      <c r="G27" s="11">
        <f t="shared" si="15"/>
        <v>0</v>
      </c>
      <c r="H27" s="11">
        <f t="shared" si="15"/>
        <v>0</v>
      </c>
      <c r="I27" s="11">
        <f t="shared" si="15"/>
        <v>0</v>
      </c>
      <c r="J27" s="11">
        <f t="shared" si="15"/>
        <v>0</v>
      </c>
      <c r="K27" s="11">
        <f t="shared" si="15"/>
        <v>0</v>
      </c>
      <c r="L27" s="41" t="e">
        <f t="shared" si="2"/>
        <v>#DIV/0!</v>
      </c>
      <c r="M27" s="5"/>
    </row>
    <row r="28" spans="1:13" ht="18" customHeight="1">
      <c r="A28" s="108" t="s">
        <v>655</v>
      </c>
      <c r="B28" s="11">
        <f>'[4]13.-2营业成本预算表（综合培训基地）'!B28</f>
        <v>0</v>
      </c>
      <c r="C28" s="11">
        <f>'[4]13.-2营业成本预算表（综合培训基地）'!C28</f>
        <v>0</v>
      </c>
      <c r="D28" s="11">
        <f>'[4]13.-2营业成本预算表（综合培训基地）'!D28</f>
        <v>0</v>
      </c>
      <c r="E28" s="11">
        <f aca="true" t="shared" si="16" ref="E28:E31">C28+D28</f>
        <v>0</v>
      </c>
      <c r="F28" s="40" t="e">
        <f t="shared" si="1"/>
        <v>#DIV/0!</v>
      </c>
      <c r="G28" s="11">
        <f aca="true" t="shared" si="17" ref="G28:G31">SUM(H28:K28)</f>
        <v>0</v>
      </c>
      <c r="H28" s="11">
        <f>'[4]13.-2营业成本预算表（综合培训基地）'!H28</f>
        <v>0</v>
      </c>
      <c r="I28" s="11">
        <f>'[4]13.-2营业成本预算表（综合培训基地）'!I28</f>
        <v>0</v>
      </c>
      <c r="J28" s="11">
        <f>'[4]13.-2营业成本预算表（综合培训基地）'!J28</f>
        <v>0</v>
      </c>
      <c r="K28" s="11">
        <f>'[4]13.-2营业成本预算表（综合培训基地）'!K28</f>
        <v>0</v>
      </c>
      <c r="L28" s="41" t="e">
        <f t="shared" si="2"/>
        <v>#DIV/0!</v>
      </c>
      <c r="M28" s="5"/>
    </row>
    <row r="29" spans="1:13" ht="18" customHeight="1">
      <c r="A29" s="108" t="s">
        <v>656</v>
      </c>
      <c r="B29" s="11">
        <f>'[4]13.-2营业成本预算表（综合培训基地）'!B29</f>
        <v>0</v>
      </c>
      <c r="C29" s="11">
        <f>'[4]13.-2营业成本预算表（综合培训基地）'!C29</f>
        <v>0</v>
      </c>
      <c r="D29" s="11">
        <f>'[4]13.-2营业成本预算表（综合培训基地）'!D29</f>
        <v>0</v>
      </c>
      <c r="E29" s="11">
        <f t="shared" si="16"/>
        <v>0</v>
      </c>
      <c r="F29" s="40" t="e">
        <f t="shared" si="1"/>
        <v>#DIV/0!</v>
      </c>
      <c r="G29" s="11">
        <f t="shared" si="17"/>
        <v>0</v>
      </c>
      <c r="H29" s="11">
        <f>'[4]13.-2营业成本预算表（综合培训基地）'!H29</f>
        <v>0</v>
      </c>
      <c r="I29" s="11">
        <f>'[4]13.-2营业成本预算表（综合培训基地）'!I29</f>
        <v>0</v>
      </c>
      <c r="J29" s="11">
        <f>'[4]13.-2营业成本预算表（综合培训基地）'!J29</f>
        <v>0</v>
      </c>
      <c r="K29" s="11">
        <f>'[4]13.-2营业成本预算表（综合培训基地）'!K29</f>
        <v>0</v>
      </c>
      <c r="L29" s="41" t="e">
        <f t="shared" si="2"/>
        <v>#DIV/0!</v>
      </c>
      <c r="M29" s="5"/>
    </row>
    <row r="30" spans="1:13" ht="18" customHeight="1">
      <c r="A30" s="108" t="s">
        <v>657</v>
      </c>
      <c r="B30" s="11">
        <f>'[4]13.-2营业成本预算表（综合培训基地）'!B30</f>
        <v>0</v>
      </c>
      <c r="C30" s="11">
        <f>'[4]13.-2营业成本预算表（综合培训基地）'!C30</f>
        <v>0</v>
      </c>
      <c r="D30" s="11">
        <f>'[4]13.-2营业成本预算表（综合培训基地）'!D30</f>
        <v>0</v>
      </c>
      <c r="E30" s="11">
        <f t="shared" si="16"/>
        <v>0</v>
      </c>
      <c r="F30" s="40" t="e">
        <f t="shared" si="1"/>
        <v>#DIV/0!</v>
      </c>
      <c r="G30" s="11">
        <f t="shared" si="17"/>
        <v>0</v>
      </c>
      <c r="H30" s="11">
        <f>'[4]13.-2营业成本预算表（综合培训基地）'!H30</f>
        <v>0</v>
      </c>
      <c r="I30" s="11">
        <f>'[4]13.-2营业成本预算表（综合培训基地）'!I30</f>
        <v>0</v>
      </c>
      <c r="J30" s="11">
        <f>'[4]13.-2营业成本预算表（综合培训基地）'!J30</f>
        <v>0</v>
      </c>
      <c r="K30" s="11">
        <f>'[4]13.-2营业成本预算表（综合培训基地）'!K30</f>
        <v>0</v>
      </c>
      <c r="L30" s="41" t="e">
        <f t="shared" si="2"/>
        <v>#DIV/0!</v>
      </c>
      <c r="M30" s="5"/>
    </row>
    <row r="31" spans="1:13" ht="18" customHeight="1">
      <c r="A31" s="108" t="s">
        <v>658</v>
      </c>
      <c r="B31" s="11">
        <f>'[4]13.-2营业成本预算表（综合培训基地）'!B31</f>
        <v>0</v>
      </c>
      <c r="C31" s="11">
        <f>'[4]13.-2营业成本预算表（综合培训基地）'!C31</f>
        <v>0</v>
      </c>
      <c r="D31" s="11">
        <f>'[4]13.-2营业成本预算表（综合培训基地）'!D31</f>
        <v>0</v>
      </c>
      <c r="E31" s="11">
        <f t="shared" si="16"/>
        <v>0</v>
      </c>
      <c r="F31" s="40" t="e">
        <f t="shared" si="1"/>
        <v>#DIV/0!</v>
      </c>
      <c r="G31" s="11">
        <f t="shared" si="17"/>
        <v>0</v>
      </c>
      <c r="H31" s="11">
        <f>'[4]13.-2营业成本预算表（综合培训基地）'!H31</f>
        <v>0</v>
      </c>
      <c r="I31" s="11">
        <f>'[4]13.-2营业成本预算表（综合培训基地）'!I31</f>
        <v>0</v>
      </c>
      <c r="J31" s="11">
        <f>'[4]13.-2营业成本预算表（综合培训基地）'!J31</f>
        <v>0</v>
      </c>
      <c r="K31" s="11">
        <f>'[4]13.-2营业成本预算表（综合培训基地）'!K31</f>
        <v>0</v>
      </c>
      <c r="L31" s="41" t="e">
        <f t="shared" si="2"/>
        <v>#DIV/0!</v>
      </c>
      <c r="M31" s="5"/>
    </row>
    <row r="32" spans="1:13" ht="18" customHeight="1">
      <c r="A32" s="25" t="s">
        <v>659</v>
      </c>
      <c r="B32" s="26">
        <f aca="true" t="shared" si="18" ref="B32:K32">SUM(B33:B42)</f>
        <v>0</v>
      </c>
      <c r="C32" s="26">
        <f t="shared" si="18"/>
        <v>46044.29</v>
      </c>
      <c r="D32" s="26">
        <f t="shared" si="18"/>
        <v>0</v>
      </c>
      <c r="E32" s="26">
        <f t="shared" si="18"/>
        <v>46044.29</v>
      </c>
      <c r="F32" s="40" t="e">
        <f t="shared" si="1"/>
        <v>#DIV/0!</v>
      </c>
      <c r="G32" s="26">
        <f t="shared" si="18"/>
        <v>800</v>
      </c>
      <c r="H32" s="26">
        <f t="shared" si="18"/>
        <v>800</v>
      </c>
      <c r="I32" s="26">
        <f t="shared" si="18"/>
        <v>0</v>
      </c>
      <c r="J32" s="26">
        <f t="shared" si="18"/>
        <v>0</v>
      </c>
      <c r="K32" s="26">
        <f t="shared" si="18"/>
        <v>0</v>
      </c>
      <c r="L32" s="41">
        <f t="shared" si="2"/>
        <v>0.017374575653137447</v>
      </c>
      <c r="M32" s="5"/>
    </row>
    <row r="33" spans="1:13" ht="18" customHeight="1">
      <c r="A33" s="25" t="s">
        <v>660</v>
      </c>
      <c r="B33" s="11">
        <f>'[4]13.-2营业成本预算表（综合培训基地）'!B33</f>
        <v>0</v>
      </c>
      <c r="C33" s="11">
        <f>'[4]13.-2营业成本预算表（综合培训基地）'!C33</f>
        <v>0</v>
      </c>
      <c r="D33" s="11">
        <f>'[4]13.-2营业成本预算表（综合培训基地）'!D33</f>
        <v>0</v>
      </c>
      <c r="E33" s="11">
        <f aca="true" t="shared" si="19" ref="E33:E42">C33+D33</f>
        <v>0</v>
      </c>
      <c r="F33" s="40" t="e">
        <f t="shared" si="1"/>
        <v>#DIV/0!</v>
      </c>
      <c r="G33" s="11">
        <f aca="true" t="shared" si="20" ref="G33:G42">SUM(H33:K33)</f>
        <v>0</v>
      </c>
      <c r="H33" s="11">
        <f>'[4]13.-2营业成本预算表（综合培训基地）'!H33</f>
        <v>0</v>
      </c>
      <c r="I33" s="11">
        <f>'[4]13.-2营业成本预算表（综合培训基地）'!I33</f>
        <v>0</v>
      </c>
      <c r="J33" s="11">
        <f>'[4]13.-2营业成本预算表（综合培训基地）'!J33</f>
        <v>0</v>
      </c>
      <c r="K33" s="11">
        <f>'[4]13.-2营业成本预算表（综合培训基地）'!K33</f>
        <v>0</v>
      </c>
      <c r="L33" s="41" t="e">
        <f t="shared" si="2"/>
        <v>#DIV/0!</v>
      </c>
      <c r="M33" s="5"/>
    </row>
    <row r="34" spans="1:13" ht="18" customHeight="1">
      <c r="A34" s="25" t="s">
        <v>661</v>
      </c>
      <c r="B34" s="11">
        <f>'[4]13.-2营业成本预算表（综合培训基地）'!B34</f>
        <v>0</v>
      </c>
      <c r="C34" s="11">
        <f>'[4]13.-2营业成本预算表（综合培训基地）'!C34</f>
        <v>0</v>
      </c>
      <c r="D34" s="11">
        <f>'[4]13.-2营业成本预算表（综合培训基地）'!D34</f>
        <v>0</v>
      </c>
      <c r="E34" s="11">
        <f t="shared" si="19"/>
        <v>0</v>
      </c>
      <c r="F34" s="40" t="e">
        <f t="shared" si="1"/>
        <v>#DIV/0!</v>
      </c>
      <c r="G34" s="11">
        <f t="shared" si="20"/>
        <v>0</v>
      </c>
      <c r="H34" s="11">
        <f>'[4]13.-2营业成本预算表（综合培训基地）'!H34</f>
        <v>0</v>
      </c>
      <c r="I34" s="11">
        <f>'[4]13.-2营业成本预算表（综合培训基地）'!I34</f>
        <v>0</v>
      </c>
      <c r="J34" s="11">
        <f>'[4]13.-2营业成本预算表（综合培训基地）'!J34</f>
        <v>0</v>
      </c>
      <c r="K34" s="11">
        <f>'[4]13.-2营业成本预算表（综合培训基地）'!K34</f>
        <v>0</v>
      </c>
      <c r="L34" s="41" t="e">
        <f t="shared" si="2"/>
        <v>#DIV/0!</v>
      </c>
      <c r="M34" s="5"/>
    </row>
    <row r="35" spans="1:13" ht="18" customHeight="1">
      <c r="A35" s="25" t="s">
        <v>662</v>
      </c>
      <c r="B35" s="11">
        <f>'[4]13.-2营业成本预算表（综合培训基地）'!B35</f>
        <v>0</v>
      </c>
      <c r="C35" s="11">
        <f>'[4]13.-2营业成本预算表（综合培训基地）'!C35</f>
        <v>0</v>
      </c>
      <c r="D35" s="11">
        <f>'[4]13.-2营业成本预算表（综合培训基地）'!D35</f>
        <v>0</v>
      </c>
      <c r="E35" s="11">
        <f t="shared" si="19"/>
        <v>0</v>
      </c>
      <c r="F35" s="40" t="e">
        <f t="shared" si="1"/>
        <v>#DIV/0!</v>
      </c>
      <c r="G35" s="11">
        <f t="shared" si="20"/>
        <v>0</v>
      </c>
      <c r="H35" s="11">
        <f>'[4]13.-2营业成本预算表（综合培训基地）'!H35</f>
        <v>0</v>
      </c>
      <c r="I35" s="11">
        <f>'[4]13.-2营业成本预算表（综合培训基地）'!I35</f>
        <v>0</v>
      </c>
      <c r="J35" s="11">
        <f>'[4]13.-2营业成本预算表（综合培训基地）'!J35</f>
        <v>0</v>
      </c>
      <c r="K35" s="11">
        <f>'[4]13.-2营业成本预算表（综合培训基地）'!K35</f>
        <v>0</v>
      </c>
      <c r="L35" s="41" t="e">
        <f t="shared" si="2"/>
        <v>#DIV/0!</v>
      </c>
      <c r="M35" s="5"/>
    </row>
    <row r="36" spans="1:13" ht="18" customHeight="1">
      <c r="A36" s="25" t="s">
        <v>663</v>
      </c>
      <c r="B36" s="11">
        <f>'[4]13.-2营业成本预算表（综合培训基地）'!B36</f>
        <v>0</v>
      </c>
      <c r="C36" s="11">
        <f>'[4]13.-2营业成本预算表（综合培训基地）'!C36</f>
        <v>0</v>
      </c>
      <c r="D36" s="11">
        <f>'[4]13.-2营业成本预算表（综合培训基地）'!D36</f>
        <v>0</v>
      </c>
      <c r="E36" s="11">
        <f t="shared" si="19"/>
        <v>0</v>
      </c>
      <c r="F36" s="40" t="e">
        <f t="shared" si="1"/>
        <v>#DIV/0!</v>
      </c>
      <c r="G36" s="11">
        <f t="shared" si="20"/>
        <v>0</v>
      </c>
      <c r="H36" s="11">
        <f>'[4]13.-2营业成本预算表（综合培训基地）'!H36</f>
        <v>0</v>
      </c>
      <c r="I36" s="11">
        <f>'[4]13.-2营业成本预算表（综合培训基地）'!I36</f>
        <v>0</v>
      </c>
      <c r="J36" s="11">
        <f>'[4]13.-2营业成本预算表（综合培训基地）'!J36</f>
        <v>0</v>
      </c>
      <c r="K36" s="11">
        <f>'[4]13.-2营业成本预算表（综合培训基地）'!K36</f>
        <v>0</v>
      </c>
      <c r="L36" s="41" t="e">
        <f t="shared" si="2"/>
        <v>#DIV/0!</v>
      </c>
      <c r="M36" s="5"/>
    </row>
    <row r="37" spans="1:13" ht="18" customHeight="1">
      <c r="A37" s="25" t="s">
        <v>664</v>
      </c>
      <c r="B37" s="11">
        <f>'[4]13.-2营业成本预算表（综合培训基地）'!B37</f>
        <v>0</v>
      </c>
      <c r="C37" s="11">
        <f>'[4]13.-2营业成本预算表（综合培训基地）'!C37</f>
        <v>0</v>
      </c>
      <c r="D37" s="11">
        <f>'[4]13.-2营业成本预算表（综合培训基地）'!D37</f>
        <v>0</v>
      </c>
      <c r="E37" s="11">
        <f t="shared" si="19"/>
        <v>0</v>
      </c>
      <c r="F37" s="40" t="e">
        <f t="shared" si="1"/>
        <v>#DIV/0!</v>
      </c>
      <c r="G37" s="11">
        <f t="shared" si="20"/>
        <v>0</v>
      </c>
      <c r="H37" s="11">
        <f>'[4]13.-2营业成本预算表（综合培训基地）'!H37</f>
        <v>0</v>
      </c>
      <c r="I37" s="11">
        <f>'[4]13.-2营业成本预算表（综合培训基地）'!I37</f>
        <v>0</v>
      </c>
      <c r="J37" s="11">
        <f>'[4]13.-2营业成本预算表（综合培训基地）'!J37</f>
        <v>0</v>
      </c>
      <c r="K37" s="11">
        <f>'[4]13.-2营业成本预算表（综合培训基地）'!K37</f>
        <v>0</v>
      </c>
      <c r="L37" s="41" t="e">
        <f t="shared" si="2"/>
        <v>#DIV/0!</v>
      </c>
      <c r="M37" s="5"/>
    </row>
    <row r="38" spans="1:13" ht="18" customHeight="1">
      <c r="A38" s="25" t="s">
        <v>665</v>
      </c>
      <c r="B38" s="11">
        <f>'[4]13.-2营业成本预算表（综合培训基地）'!B38</f>
        <v>0</v>
      </c>
      <c r="C38" s="11">
        <f>'[4]13.-2营业成本预算表（综合培训基地）'!C38</f>
        <v>0</v>
      </c>
      <c r="D38" s="11">
        <f>'[4]13.-2营业成本预算表（综合培训基地）'!D38</f>
        <v>0</v>
      </c>
      <c r="E38" s="11">
        <f t="shared" si="19"/>
        <v>0</v>
      </c>
      <c r="F38" s="40" t="e">
        <f t="shared" si="1"/>
        <v>#DIV/0!</v>
      </c>
      <c r="G38" s="11">
        <f t="shared" si="20"/>
        <v>0</v>
      </c>
      <c r="H38" s="11">
        <f>'[4]13.-2营业成本预算表（综合培训基地）'!H38</f>
        <v>0</v>
      </c>
      <c r="I38" s="11">
        <f>'[4]13.-2营业成本预算表（综合培训基地）'!I38</f>
        <v>0</v>
      </c>
      <c r="J38" s="11">
        <f>'[4]13.-2营业成本预算表（综合培训基地）'!J38</f>
        <v>0</v>
      </c>
      <c r="K38" s="11">
        <f>'[4]13.-2营业成本预算表（综合培训基地）'!K38</f>
        <v>0</v>
      </c>
      <c r="L38" s="41" t="e">
        <f t="shared" si="2"/>
        <v>#DIV/0!</v>
      </c>
      <c r="M38" s="5"/>
    </row>
    <row r="39" spans="1:13" ht="18" customHeight="1">
      <c r="A39" s="25" t="s">
        <v>666</v>
      </c>
      <c r="B39" s="11">
        <f>'[4]13.-2营业成本预算表（综合培训基地）'!B39</f>
        <v>0</v>
      </c>
      <c r="C39" s="11">
        <f>'[4]13.-2营业成本预算表（综合培训基地）'!C39</f>
        <v>0</v>
      </c>
      <c r="D39" s="11">
        <f>'[4]13.-2营业成本预算表（综合培训基地）'!D39</f>
        <v>0</v>
      </c>
      <c r="E39" s="11">
        <f t="shared" si="19"/>
        <v>0</v>
      </c>
      <c r="F39" s="40" t="e">
        <f t="shared" si="1"/>
        <v>#DIV/0!</v>
      </c>
      <c r="G39" s="11">
        <f t="shared" si="20"/>
        <v>0</v>
      </c>
      <c r="H39" s="11">
        <f>'[4]13.-2营业成本预算表（综合培训基地）'!H39</f>
        <v>0</v>
      </c>
      <c r="I39" s="11">
        <f>'[4]13.-2营业成本预算表（综合培训基地）'!I39</f>
        <v>0</v>
      </c>
      <c r="J39" s="11">
        <f>'[4]13.-2营业成本预算表（综合培训基地）'!J39</f>
        <v>0</v>
      </c>
      <c r="K39" s="11">
        <f>'[4]13.-2营业成本预算表（综合培训基地）'!K39</f>
        <v>0</v>
      </c>
      <c r="L39" s="41" t="e">
        <f t="shared" si="2"/>
        <v>#DIV/0!</v>
      </c>
      <c r="M39" s="5"/>
    </row>
    <row r="40" spans="1:13" ht="18" customHeight="1">
      <c r="A40" s="25" t="s">
        <v>667</v>
      </c>
      <c r="B40" s="11">
        <f>'[4]13.-2营业成本预算表（综合培训基地）'!B40</f>
        <v>0</v>
      </c>
      <c r="C40" s="11">
        <f>'[4]13.-2营业成本预算表（综合培训基地）'!C40</f>
        <v>17357.4</v>
      </c>
      <c r="D40" s="11">
        <f>'[4]13.-2营业成本预算表（综合培训基地）'!D40</f>
        <v>0</v>
      </c>
      <c r="E40" s="11">
        <f t="shared" si="19"/>
        <v>17357.4</v>
      </c>
      <c r="F40" s="40" t="e">
        <f t="shared" si="1"/>
        <v>#DIV/0!</v>
      </c>
      <c r="G40" s="11">
        <f t="shared" si="20"/>
        <v>800</v>
      </c>
      <c r="H40" s="11">
        <f>'[4]13.-2营业成本预算表（综合培训基地）'!H40</f>
        <v>800</v>
      </c>
      <c r="I40" s="11">
        <f>'[4]13.-2营业成本预算表（综合培训基地）'!I40</f>
        <v>0</v>
      </c>
      <c r="J40" s="11">
        <f>'[4]13.-2营业成本预算表（综合培训基地）'!J40</f>
        <v>0</v>
      </c>
      <c r="K40" s="11">
        <f>'[4]13.-2营业成本预算表（综合培训基地）'!K40</f>
        <v>0</v>
      </c>
      <c r="L40" s="41">
        <f t="shared" si="2"/>
        <v>0.04608985216679917</v>
      </c>
      <c r="M40" s="5"/>
    </row>
    <row r="41" spans="1:13" ht="18" customHeight="1">
      <c r="A41" s="25" t="s">
        <v>668</v>
      </c>
      <c r="B41" s="11">
        <f>'[4]13.-2营业成本预算表（综合培训基地）'!B41</f>
        <v>0</v>
      </c>
      <c r="C41" s="11">
        <f>'[4]13.-2营业成本预算表（综合培训基地）'!C41</f>
        <v>0</v>
      </c>
      <c r="D41" s="11">
        <f>'[4]13.-2营业成本预算表（综合培训基地）'!D41</f>
        <v>0</v>
      </c>
      <c r="E41" s="11">
        <f t="shared" si="19"/>
        <v>0</v>
      </c>
      <c r="F41" s="40" t="e">
        <f t="shared" si="1"/>
        <v>#DIV/0!</v>
      </c>
      <c r="G41" s="11">
        <f t="shared" si="20"/>
        <v>0</v>
      </c>
      <c r="H41" s="11">
        <f>'[4]13.-2营业成本预算表（综合培训基地）'!H41</f>
        <v>0</v>
      </c>
      <c r="I41" s="11">
        <f>'[4]13.-2营业成本预算表（综合培训基地）'!I41</f>
        <v>0</v>
      </c>
      <c r="J41" s="11">
        <f>'[4]13.-2营业成本预算表（综合培训基地）'!J41</f>
        <v>0</v>
      </c>
      <c r="K41" s="11">
        <f>'[4]13.-2营业成本预算表（综合培训基地）'!K41</f>
        <v>0</v>
      </c>
      <c r="L41" s="41" t="e">
        <f t="shared" si="2"/>
        <v>#DIV/0!</v>
      </c>
      <c r="M41" s="5"/>
    </row>
    <row r="42" spans="1:13" ht="18" customHeight="1">
      <c r="A42" s="25" t="s">
        <v>669</v>
      </c>
      <c r="B42" s="11">
        <f>'[4]13.-2营业成本预算表（综合培训基地）'!B42</f>
        <v>0</v>
      </c>
      <c r="C42" s="11">
        <f>'[4]13.-2营业成本预算表（综合培训基地）'!C42</f>
        <v>28686.89</v>
      </c>
      <c r="D42" s="11">
        <f>'[4]13.-2营业成本预算表（综合培训基地）'!D42</f>
        <v>0</v>
      </c>
      <c r="E42" s="11">
        <f t="shared" si="19"/>
        <v>28686.89</v>
      </c>
      <c r="F42" s="40" t="e">
        <f t="shared" si="1"/>
        <v>#DIV/0!</v>
      </c>
      <c r="G42" s="11">
        <f t="shared" si="20"/>
        <v>0</v>
      </c>
      <c r="H42" s="11">
        <f>'[4]13.-2营业成本预算表（综合培训基地）'!H42</f>
        <v>0</v>
      </c>
      <c r="I42" s="11">
        <f>'[4]13.-2营业成本预算表（综合培训基地）'!I42</f>
        <v>0</v>
      </c>
      <c r="J42" s="11">
        <f>'[4]13.-2营业成本预算表（综合培训基地）'!J42</f>
        <v>0</v>
      </c>
      <c r="K42" s="11">
        <f>'[4]13.-2营业成本预算表（综合培训基地）'!K42</f>
        <v>0</v>
      </c>
      <c r="L42" s="41">
        <f t="shared" si="2"/>
        <v>0</v>
      </c>
      <c r="M42" s="5"/>
    </row>
    <row r="43" spans="1:13" ht="18" customHeight="1">
      <c r="A43" s="25" t="s">
        <v>670</v>
      </c>
      <c r="B43" s="11">
        <f aca="true" t="shared" si="21" ref="B43:K43">SUM(B44:B46)</f>
        <v>0</v>
      </c>
      <c r="C43" s="11">
        <f t="shared" si="21"/>
        <v>0</v>
      </c>
      <c r="D43" s="11">
        <f t="shared" si="21"/>
        <v>0</v>
      </c>
      <c r="E43" s="11">
        <f t="shared" si="21"/>
        <v>0</v>
      </c>
      <c r="F43" s="40" t="e">
        <f t="shared" si="1"/>
        <v>#DIV/0!</v>
      </c>
      <c r="G43" s="11">
        <f t="shared" si="21"/>
        <v>0</v>
      </c>
      <c r="H43" s="11">
        <f t="shared" si="21"/>
        <v>0</v>
      </c>
      <c r="I43" s="11">
        <f t="shared" si="21"/>
        <v>0</v>
      </c>
      <c r="J43" s="11">
        <f t="shared" si="21"/>
        <v>0</v>
      </c>
      <c r="K43" s="11">
        <f t="shared" si="21"/>
        <v>0</v>
      </c>
      <c r="L43" s="41" t="e">
        <f t="shared" si="2"/>
        <v>#DIV/0!</v>
      </c>
      <c r="M43" s="5"/>
    </row>
    <row r="44" spans="1:13" ht="18" customHeight="1">
      <c r="A44" s="25" t="s">
        <v>671</v>
      </c>
      <c r="B44" s="11">
        <f>'[4]13.-2营业成本预算表（综合培训基地）'!B44</f>
        <v>0</v>
      </c>
      <c r="C44" s="11">
        <f>'[4]13.-2营业成本预算表（综合培训基地）'!C44</f>
        <v>0</v>
      </c>
      <c r="D44" s="11">
        <f>'[4]13.-2营业成本预算表（综合培训基地）'!D44</f>
        <v>0</v>
      </c>
      <c r="E44" s="11">
        <f aca="true" t="shared" si="22" ref="E44:E46">C44+D44</f>
        <v>0</v>
      </c>
      <c r="F44" s="40" t="e">
        <f t="shared" si="1"/>
        <v>#DIV/0!</v>
      </c>
      <c r="G44" s="11">
        <f aca="true" t="shared" si="23" ref="G44:G46">SUM(H44:K44)</f>
        <v>0</v>
      </c>
      <c r="H44" s="11">
        <f>'[4]13.-2营业成本预算表（综合培训基地）'!H44</f>
        <v>0</v>
      </c>
      <c r="I44" s="11">
        <f>'[4]13.-2营业成本预算表（综合培训基地）'!I44</f>
        <v>0</v>
      </c>
      <c r="J44" s="11">
        <f>'[4]13.-2营业成本预算表（综合培训基地）'!J44</f>
        <v>0</v>
      </c>
      <c r="K44" s="11">
        <f>'[4]13.-2营业成本预算表（综合培训基地）'!K44</f>
        <v>0</v>
      </c>
      <c r="L44" s="41" t="e">
        <f t="shared" si="2"/>
        <v>#DIV/0!</v>
      </c>
      <c r="M44" s="5"/>
    </row>
    <row r="45" spans="1:13" ht="18" customHeight="1">
      <c r="A45" s="25" t="s">
        <v>672</v>
      </c>
      <c r="B45" s="11">
        <f>'[4]13.-2营业成本预算表（综合培训基地）'!B45</f>
        <v>0</v>
      </c>
      <c r="C45" s="11">
        <f>'[4]13.-2营业成本预算表（综合培训基地）'!C45</f>
        <v>0</v>
      </c>
      <c r="D45" s="11">
        <f>'[4]13.-2营业成本预算表（综合培训基地）'!D45</f>
        <v>0</v>
      </c>
      <c r="E45" s="11">
        <f t="shared" si="22"/>
        <v>0</v>
      </c>
      <c r="F45" s="40" t="e">
        <f t="shared" si="1"/>
        <v>#DIV/0!</v>
      </c>
      <c r="G45" s="11">
        <f t="shared" si="23"/>
        <v>0</v>
      </c>
      <c r="H45" s="11">
        <f>'[4]13.-2营业成本预算表（综合培训基地）'!H45</f>
        <v>0</v>
      </c>
      <c r="I45" s="11">
        <f>'[4]13.-2营业成本预算表（综合培训基地）'!I45</f>
        <v>0</v>
      </c>
      <c r="J45" s="11">
        <f>'[4]13.-2营业成本预算表（综合培训基地）'!J45</f>
        <v>0</v>
      </c>
      <c r="K45" s="11">
        <f>'[4]13.-2营业成本预算表（综合培训基地）'!K45</f>
        <v>0</v>
      </c>
      <c r="L45" s="41" t="e">
        <f t="shared" si="2"/>
        <v>#DIV/0!</v>
      </c>
      <c r="M45" s="5"/>
    </row>
    <row r="46" spans="1:13" ht="18" customHeight="1">
      <c r="A46" s="25" t="s">
        <v>673</v>
      </c>
      <c r="B46" s="11">
        <f>'[4]13.-2营业成本预算表（综合培训基地）'!B46</f>
        <v>0</v>
      </c>
      <c r="C46" s="11">
        <f>'[4]13.-2营业成本预算表（综合培训基地）'!C46</f>
        <v>0</v>
      </c>
      <c r="D46" s="11">
        <f>'[4]13.-2营业成本预算表（综合培训基地）'!D46</f>
        <v>0</v>
      </c>
      <c r="E46" s="11">
        <f t="shared" si="22"/>
        <v>0</v>
      </c>
      <c r="F46" s="40" t="e">
        <f t="shared" si="1"/>
        <v>#DIV/0!</v>
      </c>
      <c r="G46" s="11">
        <f t="shared" si="23"/>
        <v>0</v>
      </c>
      <c r="H46" s="11">
        <f>'[4]13.-2营业成本预算表（综合培训基地）'!H46</f>
        <v>0</v>
      </c>
      <c r="I46" s="11">
        <f>'[4]13.-2营业成本预算表（综合培训基地）'!I46</f>
        <v>0</v>
      </c>
      <c r="J46" s="11">
        <f>'[4]13.-2营业成本预算表（综合培训基地）'!J46</f>
        <v>0</v>
      </c>
      <c r="K46" s="11">
        <f>'[4]13.-2营业成本预算表（综合培训基地）'!K46</f>
        <v>0</v>
      </c>
      <c r="L46" s="41" t="e">
        <f t="shared" si="2"/>
        <v>#DIV/0!</v>
      </c>
      <c r="M46" s="5"/>
    </row>
    <row r="47" spans="1:13" ht="18" customHeight="1">
      <c r="A47" s="25" t="s">
        <v>674</v>
      </c>
      <c r="B47" s="11"/>
      <c r="C47" s="12"/>
      <c r="D47" s="12"/>
      <c r="E47" s="11"/>
      <c r="F47" s="40"/>
      <c r="G47" s="11"/>
      <c r="H47" s="12"/>
      <c r="I47" s="12"/>
      <c r="J47" s="12"/>
      <c r="K47" s="12"/>
      <c r="L47" s="41"/>
      <c r="M47" s="5"/>
    </row>
    <row r="48" spans="1:13" ht="18" customHeight="1">
      <c r="A48" s="25" t="s">
        <v>628</v>
      </c>
      <c r="B48" s="11"/>
      <c r="C48" s="12"/>
      <c r="D48" s="12"/>
      <c r="E48" s="11"/>
      <c r="F48" s="40"/>
      <c r="G48" s="11"/>
      <c r="H48" s="12"/>
      <c r="I48" s="12"/>
      <c r="J48" s="12"/>
      <c r="K48" s="12"/>
      <c r="L48" s="41"/>
      <c r="M48" s="5"/>
    </row>
    <row r="49" spans="1:13" ht="18" customHeight="1">
      <c r="A49" s="25"/>
      <c r="B49" s="11"/>
      <c r="C49" s="12"/>
      <c r="D49" s="12"/>
      <c r="E49" s="11"/>
      <c r="F49" s="40"/>
      <c r="G49" s="11"/>
      <c r="H49" s="12"/>
      <c r="I49" s="12"/>
      <c r="J49" s="12"/>
      <c r="K49" s="12"/>
      <c r="L49" s="41"/>
      <c r="M49" s="5"/>
    </row>
    <row r="50" spans="1:13" ht="18" customHeight="1">
      <c r="A50" s="5"/>
      <c r="B50" s="5"/>
      <c r="C50" s="16"/>
      <c r="D50" s="4" t="s">
        <v>629</v>
      </c>
      <c r="E50" s="5"/>
      <c r="F50" s="5"/>
      <c r="G50" s="5"/>
      <c r="H50" s="16"/>
      <c r="I50" s="17" t="s">
        <v>630</v>
      </c>
      <c r="J50" s="5"/>
      <c r="K50" s="5"/>
      <c r="L50" s="5"/>
      <c r="M50" s="5"/>
    </row>
  </sheetData>
  <sheetProtection/>
  <mergeCells count="6">
    <mergeCell ref="A1:M1"/>
    <mergeCell ref="B3:F3"/>
    <mergeCell ref="G3:K3"/>
    <mergeCell ref="A3:A4"/>
    <mergeCell ref="L3:L4"/>
    <mergeCell ref="M3:M4"/>
  </mergeCells>
  <printOptions/>
  <pageMargins left="1.18" right="0.19" top="0.55" bottom="0.39" header="0.28" footer="0.16"/>
  <pageSetup fitToHeight="1" fitToWidth="1" horizontalDpi="300" verticalDpi="300" orientation="landscape" paperSize="9" scale="76"/>
</worksheet>
</file>

<file path=xl/worksheets/sheet29.xml><?xml version="1.0" encoding="utf-8"?>
<worksheet xmlns="http://schemas.openxmlformats.org/spreadsheetml/2006/main" xmlns:r="http://schemas.openxmlformats.org/officeDocument/2006/relationships">
  <sheetPr>
    <pageSetUpPr fitToPage="1"/>
  </sheetPr>
  <dimension ref="A1:M50"/>
  <sheetViews>
    <sheetView workbookViewId="0" topLeftCell="A1">
      <selection activeCell="C9" sqref="C9"/>
    </sheetView>
  </sheetViews>
  <sheetFormatPr defaultColWidth="9.140625" defaultRowHeight="12.75"/>
  <cols>
    <col min="1" max="1" width="30.28125" style="0" customWidth="1"/>
    <col min="2" max="2" width="13.140625" style="0" customWidth="1"/>
    <col min="3" max="3" width="10.7109375" style="0" customWidth="1"/>
    <col min="4" max="4" width="11.7109375" style="0" customWidth="1"/>
    <col min="5" max="6" width="10.7109375" style="0" customWidth="1"/>
    <col min="7" max="11" width="13.7109375" style="0" customWidth="1"/>
    <col min="12" max="13" width="10.7109375" style="0" customWidth="1"/>
  </cols>
  <sheetData>
    <row r="1" spans="1:13" ht="25.5" customHeight="1">
      <c r="A1" s="105" t="s">
        <v>706</v>
      </c>
      <c r="B1" s="23"/>
      <c r="C1" s="23"/>
      <c r="D1" s="23"/>
      <c r="E1" s="23"/>
      <c r="F1" s="23"/>
      <c r="G1" s="23"/>
      <c r="H1" s="23"/>
      <c r="I1" s="23"/>
      <c r="J1" s="23"/>
      <c r="K1" s="23"/>
      <c r="L1" s="23"/>
      <c r="M1" s="23"/>
    </row>
    <row r="2" spans="1:13" ht="18" customHeight="1">
      <c r="A2" s="106" t="s">
        <v>364</v>
      </c>
      <c r="B2" s="107"/>
      <c r="C2" s="45"/>
      <c r="D2" s="46"/>
      <c r="E2" s="47"/>
      <c r="F2" s="55"/>
      <c r="G2" s="24" t="s">
        <v>288</v>
      </c>
      <c r="H2" s="5"/>
      <c r="I2" s="5"/>
      <c r="J2" s="5"/>
      <c r="K2" s="5"/>
      <c r="L2" s="16" t="s">
        <v>599</v>
      </c>
      <c r="M2" s="5"/>
    </row>
    <row r="3" spans="1:13" ht="18" customHeight="1">
      <c r="A3" s="18" t="s">
        <v>290</v>
      </c>
      <c r="B3" s="90" t="s">
        <v>366</v>
      </c>
      <c r="C3" s="38"/>
      <c r="D3" s="38"/>
      <c r="E3" s="38"/>
      <c r="F3" s="39"/>
      <c r="G3" s="9" t="s">
        <v>292</v>
      </c>
      <c r="H3" s="9" t="s">
        <v>292</v>
      </c>
      <c r="I3" s="9" t="s">
        <v>292</v>
      </c>
      <c r="J3" s="9" t="s">
        <v>292</v>
      </c>
      <c r="K3" s="9" t="s">
        <v>292</v>
      </c>
      <c r="L3" s="9" t="s">
        <v>293</v>
      </c>
      <c r="M3" s="18" t="s">
        <v>33</v>
      </c>
    </row>
    <row r="4" spans="1:13" ht="18" customHeight="1">
      <c r="A4" s="18" t="s">
        <v>290</v>
      </c>
      <c r="B4" s="9" t="s">
        <v>294</v>
      </c>
      <c r="C4" s="9" t="s">
        <v>463</v>
      </c>
      <c r="D4" s="9" t="s">
        <v>296</v>
      </c>
      <c r="E4" s="9" t="s">
        <v>464</v>
      </c>
      <c r="F4" s="9" t="s">
        <v>299</v>
      </c>
      <c r="G4" s="9" t="s">
        <v>314</v>
      </c>
      <c r="H4" s="9" t="s">
        <v>324</v>
      </c>
      <c r="I4" s="9" t="s">
        <v>331</v>
      </c>
      <c r="J4" s="9" t="s">
        <v>334</v>
      </c>
      <c r="K4" s="9" t="s">
        <v>336</v>
      </c>
      <c r="L4" s="9" t="s">
        <v>293</v>
      </c>
      <c r="M4" s="18" t="s">
        <v>33</v>
      </c>
    </row>
    <row r="5" spans="1:13" ht="18" customHeight="1">
      <c r="A5" s="25" t="s">
        <v>691</v>
      </c>
      <c r="B5" s="11">
        <f aca="true" t="shared" si="0" ref="B5:K5">B6+B32+B43</f>
        <v>0</v>
      </c>
      <c r="C5" s="11">
        <f t="shared" si="0"/>
        <v>0</v>
      </c>
      <c r="D5" s="11">
        <f t="shared" si="0"/>
        <v>0</v>
      </c>
      <c r="E5" s="11">
        <f t="shared" si="0"/>
        <v>0</v>
      </c>
      <c r="F5" s="40" t="e">
        <f aca="true" t="shared" si="1" ref="F5:F46">E5/B5</f>
        <v>#DIV/0!</v>
      </c>
      <c r="G5" s="11">
        <f t="shared" si="0"/>
        <v>280334.4</v>
      </c>
      <c r="H5" s="11">
        <f t="shared" si="0"/>
        <v>70083.6</v>
      </c>
      <c r="I5" s="11">
        <f t="shared" si="0"/>
        <v>70083.6</v>
      </c>
      <c r="J5" s="11">
        <f t="shared" si="0"/>
        <v>70083.6</v>
      </c>
      <c r="K5" s="11">
        <f t="shared" si="0"/>
        <v>70083.6</v>
      </c>
      <c r="L5" s="41" t="e">
        <f aca="true" t="shared" si="2" ref="L5:L46">G5/E5</f>
        <v>#DIV/0!</v>
      </c>
      <c r="M5" s="5"/>
    </row>
    <row r="6" spans="1:13" ht="18" customHeight="1">
      <c r="A6" s="25" t="s">
        <v>633</v>
      </c>
      <c r="B6" s="11">
        <f aca="true" t="shared" si="3" ref="B6:K6">B7+B26+B27</f>
        <v>0</v>
      </c>
      <c r="C6" s="11">
        <f t="shared" si="3"/>
        <v>0</v>
      </c>
      <c r="D6" s="11">
        <f t="shared" si="3"/>
        <v>0</v>
      </c>
      <c r="E6" s="11">
        <f t="shared" si="3"/>
        <v>0</v>
      </c>
      <c r="F6" s="40" t="e">
        <f t="shared" si="1"/>
        <v>#DIV/0!</v>
      </c>
      <c r="G6" s="11">
        <f t="shared" si="3"/>
        <v>275084.4</v>
      </c>
      <c r="H6" s="11">
        <f t="shared" si="3"/>
        <v>68771.1</v>
      </c>
      <c r="I6" s="11">
        <f t="shared" si="3"/>
        <v>68771.1</v>
      </c>
      <c r="J6" s="11">
        <f t="shared" si="3"/>
        <v>68771.1</v>
      </c>
      <c r="K6" s="11">
        <f t="shared" si="3"/>
        <v>68771.1</v>
      </c>
      <c r="L6" s="41" t="e">
        <f t="shared" si="2"/>
        <v>#DIV/0!</v>
      </c>
      <c r="M6" s="5"/>
    </row>
    <row r="7" spans="1:13" ht="18" customHeight="1">
      <c r="A7" s="72" t="s">
        <v>634</v>
      </c>
      <c r="B7" s="11">
        <f aca="true" t="shared" si="4" ref="B7:K7">B8+B16+B20+B23+B24+B25</f>
        <v>0</v>
      </c>
      <c r="C7" s="11">
        <f t="shared" si="4"/>
        <v>0</v>
      </c>
      <c r="D7" s="11">
        <f t="shared" si="4"/>
        <v>0</v>
      </c>
      <c r="E7" s="11">
        <f t="shared" si="4"/>
        <v>0</v>
      </c>
      <c r="F7" s="40" t="e">
        <f t="shared" si="1"/>
        <v>#DIV/0!</v>
      </c>
      <c r="G7" s="11">
        <f t="shared" si="4"/>
        <v>0</v>
      </c>
      <c r="H7" s="11">
        <f t="shared" si="4"/>
        <v>0</v>
      </c>
      <c r="I7" s="11">
        <f t="shared" si="4"/>
        <v>0</v>
      </c>
      <c r="J7" s="11">
        <f t="shared" si="4"/>
        <v>0</v>
      </c>
      <c r="K7" s="11">
        <f t="shared" si="4"/>
        <v>0</v>
      </c>
      <c r="L7" s="41" t="e">
        <f t="shared" si="2"/>
        <v>#DIV/0!</v>
      </c>
      <c r="M7" s="5"/>
    </row>
    <row r="8" spans="1:13" ht="18" customHeight="1">
      <c r="A8" s="72" t="s">
        <v>635</v>
      </c>
      <c r="B8" s="11">
        <f aca="true" t="shared" si="5" ref="B8:K8">B9+B10+B14+B15</f>
        <v>0</v>
      </c>
      <c r="C8" s="11">
        <f t="shared" si="5"/>
        <v>0</v>
      </c>
      <c r="D8" s="11">
        <f t="shared" si="5"/>
        <v>0</v>
      </c>
      <c r="E8" s="11">
        <f t="shared" si="5"/>
        <v>0</v>
      </c>
      <c r="F8" s="40" t="e">
        <f t="shared" si="1"/>
        <v>#DIV/0!</v>
      </c>
      <c r="G8" s="11">
        <f t="shared" si="5"/>
        <v>0</v>
      </c>
      <c r="H8" s="11">
        <f t="shared" si="5"/>
        <v>0</v>
      </c>
      <c r="I8" s="11">
        <f t="shared" si="5"/>
        <v>0</v>
      </c>
      <c r="J8" s="11">
        <f t="shared" si="5"/>
        <v>0</v>
      </c>
      <c r="K8" s="11">
        <f t="shared" si="5"/>
        <v>0</v>
      </c>
      <c r="L8" s="41" t="e">
        <f t="shared" si="2"/>
        <v>#DIV/0!</v>
      </c>
      <c r="M8" s="5"/>
    </row>
    <row r="9" spans="1:13" ht="18" customHeight="1">
      <c r="A9" s="72" t="s">
        <v>636</v>
      </c>
      <c r="B9" s="11">
        <f>'[4]13-2营业成本预算表（消防服务项目）'!B9</f>
        <v>0</v>
      </c>
      <c r="C9" s="11">
        <f>'[4]13-2营业成本预算表（消防服务项目）'!C9</f>
        <v>0</v>
      </c>
      <c r="D9" s="11">
        <f>'[4]13-2营业成本预算表（消防服务项目）'!D9</f>
        <v>0</v>
      </c>
      <c r="E9" s="11">
        <f aca="true" t="shared" si="6" ref="E9:E15">C9+D9</f>
        <v>0</v>
      </c>
      <c r="F9" s="40" t="e">
        <f t="shared" si="1"/>
        <v>#DIV/0!</v>
      </c>
      <c r="G9" s="11">
        <f aca="true" t="shared" si="7" ref="G9:G15">SUM(H9:K9)</f>
        <v>0</v>
      </c>
      <c r="H9" s="11">
        <f>'[4]13-2营业成本预算表（消防服务项目）'!H9</f>
        <v>0</v>
      </c>
      <c r="I9" s="11">
        <f>'[4]13-2营业成本预算表（消防服务项目）'!I9</f>
        <v>0</v>
      </c>
      <c r="J9" s="11">
        <f>'[4]13-2营业成本预算表（消防服务项目）'!J9</f>
        <v>0</v>
      </c>
      <c r="K9" s="11">
        <f>'[4]13-2营业成本预算表（消防服务项目）'!K9</f>
        <v>0</v>
      </c>
      <c r="L9" s="41" t="e">
        <f t="shared" si="2"/>
        <v>#DIV/0!</v>
      </c>
      <c r="M9" s="5"/>
    </row>
    <row r="10" spans="1:13" ht="18" customHeight="1">
      <c r="A10" s="72" t="s">
        <v>637</v>
      </c>
      <c r="B10" s="11">
        <f aca="true" t="shared" si="8" ref="B10:K10">SUM(B11:B13)</f>
        <v>0</v>
      </c>
      <c r="C10" s="11">
        <f t="shared" si="8"/>
        <v>0</v>
      </c>
      <c r="D10" s="11">
        <f t="shared" si="8"/>
        <v>0</v>
      </c>
      <c r="E10" s="11">
        <f t="shared" si="8"/>
        <v>0</v>
      </c>
      <c r="F10" s="40" t="e">
        <f t="shared" si="1"/>
        <v>#DIV/0!</v>
      </c>
      <c r="G10" s="11">
        <f t="shared" si="8"/>
        <v>0</v>
      </c>
      <c r="H10" s="11">
        <f t="shared" si="8"/>
        <v>0</v>
      </c>
      <c r="I10" s="11">
        <f t="shared" si="8"/>
        <v>0</v>
      </c>
      <c r="J10" s="11">
        <f t="shared" si="8"/>
        <v>0</v>
      </c>
      <c r="K10" s="11">
        <f t="shared" si="8"/>
        <v>0</v>
      </c>
      <c r="L10" s="41" t="e">
        <f t="shared" si="2"/>
        <v>#DIV/0!</v>
      </c>
      <c r="M10" s="5"/>
    </row>
    <row r="11" spans="1:13" ht="18" customHeight="1">
      <c r="A11" s="75" t="s">
        <v>638</v>
      </c>
      <c r="B11" s="11">
        <f>'[4]13-2营业成本预算表（消防服务项目）'!B11</f>
        <v>0</v>
      </c>
      <c r="C11" s="11">
        <f>'[4]13-2营业成本预算表（消防服务项目）'!C11</f>
        <v>0</v>
      </c>
      <c r="D11" s="11">
        <f>'[4]13-2营业成本预算表（消防服务项目）'!D11</f>
        <v>0</v>
      </c>
      <c r="E11" s="11">
        <f t="shared" si="6"/>
        <v>0</v>
      </c>
      <c r="F11" s="40" t="e">
        <f t="shared" si="1"/>
        <v>#DIV/0!</v>
      </c>
      <c r="G11" s="11">
        <f t="shared" si="7"/>
        <v>0</v>
      </c>
      <c r="H11" s="11">
        <f>'[4]13-2营业成本预算表（消防服务项目）'!H11</f>
        <v>0</v>
      </c>
      <c r="I11" s="11">
        <f>'[4]13-2营业成本预算表（消防服务项目）'!I11</f>
        <v>0</v>
      </c>
      <c r="J11" s="11">
        <f>'[4]13-2营业成本预算表（消防服务项目）'!J11</f>
        <v>0</v>
      </c>
      <c r="K11" s="11">
        <f>'[4]13-2营业成本预算表（消防服务项目）'!K11</f>
        <v>0</v>
      </c>
      <c r="L11" s="41" t="e">
        <f t="shared" si="2"/>
        <v>#DIV/0!</v>
      </c>
      <c r="M11" s="5"/>
    </row>
    <row r="12" spans="1:13" ht="18" customHeight="1">
      <c r="A12" s="75" t="s">
        <v>639</v>
      </c>
      <c r="B12" s="11">
        <f>'[4]13-2营业成本预算表（消防服务项目）'!B12</f>
        <v>0</v>
      </c>
      <c r="C12" s="11">
        <f>'[4]13-2营业成本预算表（消防服务项目）'!C12</f>
        <v>0</v>
      </c>
      <c r="D12" s="11">
        <f>'[4]13-2营业成本预算表（消防服务项目）'!D12</f>
        <v>0</v>
      </c>
      <c r="E12" s="11">
        <f t="shared" si="6"/>
        <v>0</v>
      </c>
      <c r="F12" s="40" t="e">
        <f t="shared" si="1"/>
        <v>#DIV/0!</v>
      </c>
      <c r="G12" s="11">
        <f t="shared" si="7"/>
        <v>0</v>
      </c>
      <c r="H12" s="11">
        <f>'[4]13-2营业成本预算表（消防服务项目）'!H12</f>
        <v>0</v>
      </c>
      <c r="I12" s="11">
        <f>'[4]13-2营业成本预算表（消防服务项目）'!I12</f>
        <v>0</v>
      </c>
      <c r="J12" s="11">
        <f>'[4]13-2营业成本预算表（消防服务项目）'!J12</f>
        <v>0</v>
      </c>
      <c r="K12" s="11">
        <f>'[4]13-2营业成本预算表（消防服务项目）'!K12</f>
        <v>0</v>
      </c>
      <c r="L12" s="41" t="e">
        <f t="shared" si="2"/>
        <v>#DIV/0!</v>
      </c>
      <c r="M12" s="5"/>
    </row>
    <row r="13" spans="1:13" ht="18" customHeight="1">
      <c r="A13" s="75" t="s">
        <v>640</v>
      </c>
      <c r="B13" s="11">
        <f>'[4]13-2营业成本预算表（消防服务项目）'!B13</f>
        <v>0</v>
      </c>
      <c r="C13" s="11">
        <f>'[4]13-2营业成本预算表（消防服务项目）'!C13</f>
        <v>0</v>
      </c>
      <c r="D13" s="11">
        <f>'[4]13-2营业成本预算表（消防服务项目）'!D13</f>
        <v>0</v>
      </c>
      <c r="E13" s="11">
        <f t="shared" si="6"/>
        <v>0</v>
      </c>
      <c r="F13" s="40" t="e">
        <f t="shared" si="1"/>
        <v>#DIV/0!</v>
      </c>
      <c r="G13" s="11">
        <f t="shared" si="7"/>
        <v>0</v>
      </c>
      <c r="H13" s="11">
        <f>'[4]13-2营业成本预算表（消防服务项目）'!H13</f>
        <v>0</v>
      </c>
      <c r="I13" s="11">
        <f>'[4]13-2营业成本预算表（消防服务项目）'!I13</f>
        <v>0</v>
      </c>
      <c r="J13" s="11">
        <f>'[4]13-2营业成本预算表（消防服务项目）'!J13</f>
        <v>0</v>
      </c>
      <c r="K13" s="11">
        <f>'[4]13-2营业成本预算表（消防服务项目）'!K13</f>
        <v>0</v>
      </c>
      <c r="L13" s="41" t="e">
        <f t="shared" si="2"/>
        <v>#DIV/0!</v>
      </c>
      <c r="M13" s="5"/>
    </row>
    <row r="14" spans="1:13" ht="18" customHeight="1">
      <c r="A14" s="72" t="s">
        <v>641</v>
      </c>
      <c r="B14" s="11">
        <f>'[4]13-2营业成本预算表（消防服务项目）'!B14</f>
        <v>0</v>
      </c>
      <c r="C14" s="11">
        <f>'[4]13-2营业成本预算表（消防服务项目）'!C14</f>
        <v>0</v>
      </c>
      <c r="D14" s="11">
        <f>'[4]13-2营业成本预算表（消防服务项目）'!D14</f>
        <v>0</v>
      </c>
      <c r="E14" s="11">
        <f t="shared" si="6"/>
        <v>0</v>
      </c>
      <c r="F14" s="40" t="e">
        <f t="shared" si="1"/>
        <v>#DIV/0!</v>
      </c>
      <c r="G14" s="11">
        <f t="shared" si="7"/>
        <v>0</v>
      </c>
      <c r="H14" s="11">
        <f>'[4]13-2营业成本预算表（消防服务项目）'!H14</f>
        <v>0</v>
      </c>
      <c r="I14" s="11">
        <f>'[4]13-2营业成本预算表（消防服务项目）'!I14</f>
        <v>0</v>
      </c>
      <c r="J14" s="11">
        <f>'[4]13-2营业成本预算表（消防服务项目）'!J14</f>
        <v>0</v>
      </c>
      <c r="K14" s="11">
        <f>'[4]13-2营业成本预算表（消防服务项目）'!K14</f>
        <v>0</v>
      </c>
      <c r="L14" s="41" t="e">
        <f t="shared" si="2"/>
        <v>#DIV/0!</v>
      </c>
      <c r="M14" s="5"/>
    </row>
    <row r="15" spans="1:13" ht="18" customHeight="1">
      <c r="A15" s="72" t="s">
        <v>642</v>
      </c>
      <c r="B15" s="11">
        <f>'[4]13-2营业成本预算表（消防服务项目）'!B15</f>
        <v>0</v>
      </c>
      <c r="C15" s="11">
        <f>'[4]13-2营业成本预算表（消防服务项目）'!C15</f>
        <v>0</v>
      </c>
      <c r="D15" s="11">
        <f>'[4]13-2营业成本预算表（消防服务项目）'!D15</f>
        <v>0</v>
      </c>
      <c r="E15" s="11">
        <f t="shared" si="6"/>
        <v>0</v>
      </c>
      <c r="F15" s="40" t="e">
        <f t="shared" si="1"/>
        <v>#DIV/0!</v>
      </c>
      <c r="G15" s="11">
        <f t="shared" si="7"/>
        <v>0</v>
      </c>
      <c r="H15" s="11">
        <f>'[4]13-2营业成本预算表（消防服务项目）'!H15</f>
        <v>0</v>
      </c>
      <c r="I15" s="11">
        <f>'[4]13-2营业成本预算表（消防服务项目）'!I15</f>
        <v>0</v>
      </c>
      <c r="J15" s="11">
        <f>'[4]13-2营业成本预算表（消防服务项目）'!J15</f>
        <v>0</v>
      </c>
      <c r="K15" s="11">
        <f>'[4]13-2营业成本预算表（消防服务项目）'!K15</f>
        <v>0</v>
      </c>
      <c r="L15" s="41" t="e">
        <f t="shared" si="2"/>
        <v>#DIV/0!</v>
      </c>
      <c r="M15" s="5"/>
    </row>
    <row r="16" spans="1:13" ht="18" customHeight="1">
      <c r="A16" s="72" t="s">
        <v>643</v>
      </c>
      <c r="B16" s="11">
        <f aca="true" t="shared" si="9" ref="B16:K16">SUM(B17:B19)</f>
        <v>0</v>
      </c>
      <c r="C16" s="11">
        <f t="shared" si="9"/>
        <v>0</v>
      </c>
      <c r="D16" s="11">
        <f t="shared" si="9"/>
        <v>0</v>
      </c>
      <c r="E16" s="11">
        <f t="shared" si="9"/>
        <v>0</v>
      </c>
      <c r="F16" s="40" t="e">
        <f t="shared" si="1"/>
        <v>#DIV/0!</v>
      </c>
      <c r="G16" s="11">
        <f t="shared" si="9"/>
        <v>0</v>
      </c>
      <c r="H16" s="11">
        <f t="shared" si="9"/>
        <v>0</v>
      </c>
      <c r="I16" s="11">
        <f t="shared" si="9"/>
        <v>0</v>
      </c>
      <c r="J16" s="11">
        <f t="shared" si="9"/>
        <v>0</v>
      </c>
      <c r="K16" s="11">
        <f t="shared" si="9"/>
        <v>0</v>
      </c>
      <c r="L16" s="41" t="e">
        <f t="shared" si="2"/>
        <v>#DIV/0!</v>
      </c>
      <c r="M16" s="5"/>
    </row>
    <row r="17" spans="1:13" ht="18" customHeight="1">
      <c r="A17" s="72" t="s">
        <v>644</v>
      </c>
      <c r="B17" s="11">
        <f>'[4]13-2营业成本预算表（消防服务项目）'!B17</f>
        <v>0</v>
      </c>
      <c r="C17" s="11">
        <f>'[4]13-2营业成本预算表（消防服务项目）'!C17</f>
        <v>0</v>
      </c>
      <c r="D17" s="11">
        <f>'[4]13-2营业成本预算表（消防服务项目）'!D17</f>
        <v>0</v>
      </c>
      <c r="E17" s="11">
        <f aca="true" t="shared" si="10" ref="E17:E19">C17+D17</f>
        <v>0</v>
      </c>
      <c r="F17" s="40" t="e">
        <f t="shared" si="1"/>
        <v>#DIV/0!</v>
      </c>
      <c r="G17" s="11">
        <f aca="true" t="shared" si="11" ref="G17:G19">SUM(H17:K17)</f>
        <v>0</v>
      </c>
      <c r="H17" s="11">
        <f>'[4]13-2营业成本预算表（消防服务项目）'!H17</f>
        <v>0</v>
      </c>
      <c r="I17" s="11">
        <f>'[4]13-2营业成本预算表（消防服务项目）'!I17</f>
        <v>0</v>
      </c>
      <c r="J17" s="11">
        <f>'[4]13-2营业成本预算表（消防服务项目）'!J17</f>
        <v>0</v>
      </c>
      <c r="K17" s="11">
        <f>'[4]13-2营业成本预算表（消防服务项目）'!K17</f>
        <v>0</v>
      </c>
      <c r="L17" s="41" t="e">
        <f t="shared" si="2"/>
        <v>#DIV/0!</v>
      </c>
      <c r="M17" s="5"/>
    </row>
    <row r="18" spans="1:13" ht="18" customHeight="1">
      <c r="A18" s="72" t="s">
        <v>645</v>
      </c>
      <c r="B18" s="11">
        <f>'[4]13-2营业成本预算表（消防服务项目）'!B18</f>
        <v>0</v>
      </c>
      <c r="C18" s="11">
        <f>'[4]13-2营业成本预算表（消防服务项目）'!C18</f>
        <v>0</v>
      </c>
      <c r="D18" s="11">
        <f>'[4]13-2营业成本预算表（消防服务项目）'!D18</f>
        <v>0</v>
      </c>
      <c r="E18" s="11">
        <f t="shared" si="10"/>
        <v>0</v>
      </c>
      <c r="F18" s="40" t="e">
        <f t="shared" si="1"/>
        <v>#DIV/0!</v>
      </c>
      <c r="G18" s="11">
        <f t="shared" si="11"/>
        <v>0</v>
      </c>
      <c r="H18" s="11">
        <f>'[4]13-2营业成本预算表（消防服务项目）'!H18</f>
        <v>0</v>
      </c>
      <c r="I18" s="11">
        <f>'[4]13-2营业成本预算表（消防服务项目）'!I18</f>
        <v>0</v>
      </c>
      <c r="J18" s="11">
        <f>'[4]13-2营业成本预算表（消防服务项目）'!J18</f>
        <v>0</v>
      </c>
      <c r="K18" s="11">
        <f>'[4]13-2营业成本预算表（消防服务项目）'!K18</f>
        <v>0</v>
      </c>
      <c r="L18" s="41" t="e">
        <f t="shared" si="2"/>
        <v>#DIV/0!</v>
      </c>
      <c r="M18" s="5"/>
    </row>
    <row r="19" spans="1:13" ht="18" customHeight="1">
      <c r="A19" s="72" t="s">
        <v>646</v>
      </c>
      <c r="B19" s="11">
        <f>'[4]13-2营业成本预算表（消防服务项目）'!B19</f>
        <v>0</v>
      </c>
      <c r="C19" s="11">
        <f>'[4]13-2营业成本预算表（消防服务项目）'!C19</f>
        <v>0</v>
      </c>
      <c r="D19" s="11">
        <f>'[4]13-2营业成本预算表（消防服务项目）'!D19</f>
        <v>0</v>
      </c>
      <c r="E19" s="11">
        <f t="shared" si="10"/>
        <v>0</v>
      </c>
      <c r="F19" s="40" t="e">
        <f t="shared" si="1"/>
        <v>#DIV/0!</v>
      </c>
      <c r="G19" s="11">
        <f t="shared" si="11"/>
        <v>0</v>
      </c>
      <c r="H19" s="11">
        <f>'[4]13-2营业成本预算表（消防服务项目）'!H19</f>
        <v>0</v>
      </c>
      <c r="I19" s="11">
        <f>'[4]13-2营业成本预算表（消防服务项目）'!I19</f>
        <v>0</v>
      </c>
      <c r="J19" s="11">
        <f>'[4]13-2营业成本预算表（消防服务项目）'!J19</f>
        <v>0</v>
      </c>
      <c r="K19" s="11">
        <f>'[4]13-2营业成本预算表（消防服务项目）'!K19</f>
        <v>0</v>
      </c>
      <c r="L19" s="41" t="e">
        <f t="shared" si="2"/>
        <v>#DIV/0!</v>
      </c>
      <c r="M19" s="5"/>
    </row>
    <row r="20" spans="1:13" ht="18" customHeight="1">
      <c r="A20" s="72" t="s">
        <v>647</v>
      </c>
      <c r="B20" s="11">
        <f aca="true" t="shared" si="12" ref="B20:K20">SUM(B21:B22)</f>
        <v>0</v>
      </c>
      <c r="C20" s="11">
        <f t="shared" si="12"/>
        <v>0</v>
      </c>
      <c r="D20" s="11">
        <f t="shared" si="12"/>
        <v>0</v>
      </c>
      <c r="E20" s="11">
        <f t="shared" si="12"/>
        <v>0</v>
      </c>
      <c r="F20" s="40" t="e">
        <f t="shared" si="1"/>
        <v>#DIV/0!</v>
      </c>
      <c r="G20" s="11">
        <f t="shared" si="12"/>
        <v>0</v>
      </c>
      <c r="H20" s="11">
        <f t="shared" si="12"/>
        <v>0</v>
      </c>
      <c r="I20" s="11">
        <f t="shared" si="12"/>
        <v>0</v>
      </c>
      <c r="J20" s="11">
        <f t="shared" si="12"/>
        <v>0</v>
      </c>
      <c r="K20" s="11">
        <f t="shared" si="12"/>
        <v>0</v>
      </c>
      <c r="L20" s="41" t="e">
        <f t="shared" si="2"/>
        <v>#DIV/0!</v>
      </c>
      <c r="M20" s="5"/>
    </row>
    <row r="21" spans="1:13" ht="18" customHeight="1">
      <c r="A21" s="72" t="s">
        <v>648</v>
      </c>
      <c r="B21" s="11">
        <f>'[4]13-2营业成本预算表（消防服务项目）'!B21</f>
        <v>0</v>
      </c>
      <c r="C21" s="11">
        <f>'[4]13-2营业成本预算表（消防服务项目）'!C21</f>
        <v>0</v>
      </c>
      <c r="D21" s="11">
        <f>'[4]13-2营业成本预算表（消防服务项目）'!D21</f>
        <v>0</v>
      </c>
      <c r="E21" s="11">
        <f aca="true" t="shared" si="13" ref="E21:E26">C21+D21</f>
        <v>0</v>
      </c>
      <c r="F21" s="40" t="e">
        <f t="shared" si="1"/>
        <v>#DIV/0!</v>
      </c>
      <c r="G21" s="11">
        <f aca="true" t="shared" si="14" ref="G21:G26">SUM(H21:K21)</f>
        <v>0</v>
      </c>
      <c r="H21" s="11">
        <f>'[4]13-2营业成本预算表（消防服务项目）'!H21</f>
        <v>0</v>
      </c>
      <c r="I21" s="11">
        <f>'[4]13-2营业成本预算表（消防服务项目）'!I21</f>
        <v>0</v>
      </c>
      <c r="J21" s="11">
        <f>'[4]13-2营业成本预算表（消防服务项目）'!J21</f>
        <v>0</v>
      </c>
      <c r="K21" s="11">
        <f>'[4]13-2营业成本预算表（消防服务项目）'!K21</f>
        <v>0</v>
      </c>
      <c r="L21" s="41" t="e">
        <f t="shared" si="2"/>
        <v>#DIV/0!</v>
      </c>
      <c r="M21" s="5"/>
    </row>
    <row r="22" spans="1:13" ht="18" customHeight="1">
      <c r="A22" s="72" t="s">
        <v>649</v>
      </c>
      <c r="B22" s="11">
        <f>'[4]13-2营业成本预算表（消防服务项目）'!B22</f>
        <v>0</v>
      </c>
      <c r="C22" s="11">
        <f>'[4]13-2营业成本预算表（消防服务项目）'!C22</f>
        <v>0</v>
      </c>
      <c r="D22" s="11">
        <f>'[4]13-2营业成本预算表（消防服务项目）'!D22</f>
        <v>0</v>
      </c>
      <c r="E22" s="11">
        <f t="shared" si="13"/>
        <v>0</v>
      </c>
      <c r="F22" s="40" t="e">
        <f t="shared" si="1"/>
        <v>#DIV/0!</v>
      </c>
      <c r="G22" s="11">
        <f t="shared" si="14"/>
        <v>0</v>
      </c>
      <c r="H22" s="11">
        <f>'[4]13-2营业成本预算表（消防服务项目）'!H22</f>
        <v>0</v>
      </c>
      <c r="I22" s="11">
        <f>'[4]13-2营业成本预算表（消防服务项目）'!I22</f>
        <v>0</v>
      </c>
      <c r="J22" s="11">
        <f>'[4]13-2营业成本预算表（消防服务项目）'!J22</f>
        <v>0</v>
      </c>
      <c r="K22" s="11">
        <f>'[4]13-2营业成本预算表（消防服务项目）'!K22</f>
        <v>0</v>
      </c>
      <c r="L22" s="41" t="e">
        <f t="shared" si="2"/>
        <v>#DIV/0!</v>
      </c>
      <c r="M22" s="5"/>
    </row>
    <row r="23" spans="1:13" ht="18" customHeight="1">
      <c r="A23" s="72" t="s">
        <v>650</v>
      </c>
      <c r="B23" s="11">
        <f>'[4]13-2营业成本预算表（消防服务项目）'!B23</f>
        <v>0</v>
      </c>
      <c r="C23" s="11">
        <f>'[4]13-2营业成本预算表（消防服务项目）'!C23</f>
        <v>0</v>
      </c>
      <c r="D23" s="11">
        <f>'[4]13-2营业成本预算表（消防服务项目）'!D23</f>
        <v>0</v>
      </c>
      <c r="E23" s="11">
        <f t="shared" si="13"/>
        <v>0</v>
      </c>
      <c r="F23" s="40" t="e">
        <f t="shared" si="1"/>
        <v>#DIV/0!</v>
      </c>
      <c r="G23" s="11">
        <f t="shared" si="14"/>
        <v>0</v>
      </c>
      <c r="H23" s="11">
        <f>'[4]13-2营业成本预算表（消防服务项目）'!H23</f>
        <v>0</v>
      </c>
      <c r="I23" s="11">
        <f>'[4]13-2营业成本预算表（消防服务项目）'!I23</f>
        <v>0</v>
      </c>
      <c r="J23" s="11">
        <f>'[4]13-2营业成本预算表（消防服务项目）'!J23</f>
        <v>0</v>
      </c>
      <c r="K23" s="11">
        <f>'[4]13-2营业成本预算表（消防服务项目）'!K23</f>
        <v>0</v>
      </c>
      <c r="L23" s="41" t="e">
        <f t="shared" si="2"/>
        <v>#DIV/0!</v>
      </c>
      <c r="M23" s="5"/>
    </row>
    <row r="24" spans="1:13" ht="18" customHeight="1">
      <c r="A24" s="72" t="s">
        <v>651</v>
      </c>
      <c r="B24" s="11">
        <f>'[4]13-2营业成本预算表（消防服务项目）'!B24</f>
        <v>0</v>
      </c>
      <c r="C24" s="11">
        <f>'[4]13-2营业成本预算表（消防服务项目）'!C24</f>
        <v>0</v>
      </c>
      <c r="D24" s="11">
        <f>'[4]13-2营业成本预算表（消防服务项目）'!D24</f>
        <v>0</v>
      </c>
      <c r="E24" s="11">
        <f t="shared" si="13"/>
        <v>0</v>
      </c>
      <c r="F24" s="40" t="e">
        <f t="shared" si="1"/>
        <v>#DIV/0!</v>
      </c>
      <c r="G24" s="11">
        <f t="shared" si="14"/>
        <v>0</v>
      </c>
      <c r="H24" s="11">
        <f>'[4]13-2营业成本预算表（消防服务项目）'!H24</f>
        <v>0</v>
      </c>
      <c r="I24" s="11">
        <f>'[4]13-2营业成本预算表（消防服务项目）'!I24</f>
        <v>0</v>
      </c>
      <c r="J24" s="11">
        <f>'[4]13-2营业成本预算表（消防服务项目）'!J24</f>
        <v>0</v>
      </c>
      <c r="K24" s="11">
        <f>'[4]13-2营业成本预算表（消防服务项目）'!K24</f>
        <v>0</v>
      </c>
      <c r="L24" s="41" t="e">
        <f t="shared" si="2"/>
        <v>#DIV/0!</v>
      </c>
      <c r="M24" s="5"/>
    </row>
    <row r="25" spans="1:13" ht="18" customHeight="1">
      <c r="A25" s="72" t="s">
        <v>652</v>
      </c>
      <c r="B25" s="11">
        <f>'[4]13-2营业成本预算表（消防服务项目）'!B25</f>
        <v>0</v>
      </c>
      <c r="C25" s="11">
        <f>'[4]13-2营业成本预算表（消防服务项目）'!C25</f>
        <v>0</v>
      </c>
      <c r="D25" s="11">
        <f>'[4]13-2营业成本预算表（消防服务项目）'!D25</f>
        <v>0</v>
      </c>
      <c r="E25" s="11">
        <f t="shared" si="13"/>
        <v>0</v>
      </c>
      <c r="F25" s="40" t="e">
        <f t="shared" si="1"/>
        <v>#DIV/0!</v>
      </c>
      <c r="G25" s="11">
        <f t="shared" si="14"/>
        <v>0</v>
      </c>
      <c r="H25" s="11">
        <f>'[4]13-2营业成本预算表（消防服务项目）'!H25</f>
        <v>0</v>
      </c>
      <c r="I25" s="11">
        <f>'[4]13-2营业成本预算表（消防服务项目）'!I25</f>
        <v>0</v>
      </c>
      <c r="J25" s="11">
        <f>'[4]13-2营业成本预算表（消防服务项目）'!J25</f>
        <v>0</v>
      </c>
      <c r="K25" s="11">
        <f>'[4]13-2营业成本预算表（消防服务项目）'!K25</f>
        <v>0</v>
      </c>
      <c r="L25" s="41" t="e">
        <f t="shared" si="2"/>
        <v>#DIV/0!</v>
      </c>
      <c r="M25" s="5"/>
    </row>
    <row r="26" spans="1:13" ht="18" customHeight="1">
      <c r="A26" s="108" t="s">
        <v>653</v>
      </c>
      <c r="B26" s="11">
        <f>'[4]13-2营业成本预算表（消防服务项目）'!B26</f>
        <v>0</v>
      </c>
      <c r="C26" s="11">
        <f>'[4]13-2营业成本预算表（消防服务项目）'!C26</f>
        <v>0</v>
      </c>
      <c r="D26" s="11">
        <f>'[4]13-2营业成本预算表（消防服务项目）'!D26</f>
        <v>0</v>
      </c>
      <c r="E26" s="11">
        <f t="shared" si="13"/>
        <v>0</v>
      </c>
      <c r="F26" s="40" t="e">
        <f t="shared" si="1"/>
        <v>#DIV/0!</v>
      </c>
      <c r="G26" s="11">
        <f t="shared" si="14"/>
        <v>275084.4</v>
      </c>
      <c r="H26" s="11">
        <f>'[4]13-2营业成本预算表（消防服务项目）'!H26</f>
        <v>68771.1</v>
      </c>
      <c r="I26" s="11">
        <f>'[4]13-2营业成本预算表（消防服务项目）'!I26</f>
        <v>68771.1</v>
      </c>
      <c r="J26" s="11">
        <f>'[4]13-2营业成本预算表（消防服务项目）'!J26</f>
        <v>68771.1</v>
      </c>
      <c r="K26" s="11">
        <f>'[4]13-2营业成本预算表（消防服务项目）'!K26</f>
        <v>68771.1</v>
      </c>
      <c r="L26" s="41" t="e">
        <f t="shared" si="2"/>
        <v>#DIV/0!</v>
      </c>
      <c r="M26" s="5"/>
    </row>
    <row r="27" spans="1:13" ht="18" customHeight="1">
      <c r="A27" s="108" t="s">
        <v>654</v>
      </c>
      <c r="B27" s="11">
        <f aca="true" t="shared" si="15" ref="B27:K27">SUM(B28:B31)</f>
        <v>0</v>
      </c>
      <c r="C27" s="11">
        <f t="shared" si="15"/>
        <v>0</v>
      </c>
      <c r="D27" s="11">
        <f t="shared" si="15"/>
        <v>0</v>
      </c>
      <c r="E27" s="11">
        <f t="shared" si="15"/>
        <v>0</v>
      </c>
      <c r="F27" s="40" t="e">
        <f t="shared" si="1"/>
        <v>#DIV/0!</v>
      </c>
      <c r="G27" s="11">
        <f t="shared" si="15"/>
        <v>0</v>
      </c>
      <c r="H27" s="11">
        <f t="shared" si="15"/>
        <v>0</v>
      </c>
      <c r="I27" s="11">
        <f t="shared" si="15"/>
        <v>0</v>
      </c>
      <c r="J27" s="11">
        <f t="shared" si="15"/>
        <v>0</v>
      </c>
      <c r="K27" s="11">
        <f t="shared" si="15"/>
        <v>0</v>
      </c>
      <c r="L27" s="41" t="e">
        <f t="shared" si="2"/>
        <v>#DIV/0!</v>
      </c>
      <c r="M27" s="5"/>
    </row>
    <row r="28" spans="1:13" ht="18" customHeight="1">
      <c r="A28" s="108" t="s">
        <v>655</v>
      </c>
      <c r="B28" s="11">
        <f>'[4]13-2营业成本预算表（消防服务项目）'!B28</f>
        <v>0</v>
      </c>
      <c r="C28" s="11">
        <f>'[4]13-2营业成本预算表（消防服务项目）'!C28</f>
        <v>0</v>
      </c>
      <c r="D28" s="11">
        <f>'[4]13-2营业成本预算表（消防服务项目）'!D28</f>
        <v>0</v>
      </c>
      <c r="E28" s="11">
        <f aca="true" t="shared" si="16" ref="E28:E31">C28+D28</f>
        <v>0</v>
      </c>
      <c r="F28" s="40" t="e">
        <f t="shared" si="1"/>
        <v>#DIV/0!</v>
      </c>
      <c r="G28" s="11">
        <f aca="true" t="shared" si="17" ref="G28:G31">SUM(H28:K28)</f>
        <v>0</v>
      </c>
      <c r="H28" s="11">
        <f>'[4]13-2营业成本预算表（消防服务项目）'!H28</f>
        <v>0</v>
      </c>
      <c r="I28" s="11">
        <f>'[4]13-2营业成本预算表（消防服务项目）'!I28</f>
        <v>0</v>
      </c>
      <c r="J28" s="11">
        <f>'[4]13-2营业成本预算表（消防服务项目）'!J28</f>
        <v>0</v>
      </c>
      <c r="K28" s="11">
        <f>'[4]13-2营业成本预算表（消防服务项目）'!K28</f>
        <v>0</v>
      </c>
      <c r="L28" s="41" t="e">
        <f t="shared" si="2"/>
        <v>#DIV/0!</v>
      </c>
      <c r="M28" s="5"/>
    </row>
    <row r="29" spans="1:13" ht="18" customHeight="1">
      <c r="A29" s="108" t="s">
        <v>656</v>
      </c>
      <c r="B29" s="11">
        <f>'[4]13-2营业成本预算表（消防服务项目）'!B29</f>
        <v>0</v>
      </c>
      <c r="C29" s="11">
        <f>'[4]13-2营业成本预算表（消防服务项目）'!C29</f>
        <v>0</v>
      </c>
      <c r="D29" s="11">
        <f>'[4]13-2营业成本预算表（消防服务项目）'!D29</f>
        <v>0</v>
      </c>
      <c r="E29" s="11">
        <f t="shared" si="16"/>
        <v>0</v>
      </c>
      <c r="F29" s="40" t="e">
        <f t="shared" si="1"/>
        <v>#DIV/0!</v>
      </c>
      <c r="G29" s="11">
        <f t="shared" si="17"/>
        <v>0</v>
      </c>
      <c r="H29" s="11">
        <f>'[4]13-2营业成本预算表（消防服务项目）'!H29</f>
        <v>0</v>
      </c>
      <c r="I29" s="11">
        <f>'[4]13-2营业成本预算表（消防服务项目）'!I29</f>
        <v>0</v>
      </c>
      <c r="J29" s="11">
        <f>'[4]13-2营业成本预算表（消防服务项目）'!J29</f>
        <v>0</v>
      </c>
      <c r="K29" s="11">
        <f>'[4]13-2营业成本预算表（消防服务项目）'!K29</f>
        <v>0</v>
      </c>
      <c r="L29" s="41" t="e">
        <f t="shared" si="2"/>
        <v>#DIV/0!</v>
      </c>
      <c r="M29" s="5"/>
    </row>
    <row r="30" spans="1:13" ht="18" customHeight="1">
      <c r="A30" s="108" t="s">
        <v>657</v>
      </c>
      <c r="B30" s="11">
        <f>'[4]13-2营业成本预算表（消防服务项目）'!B30</f>
        <v>0</v>
      </c>
      <c r="C30" s="11">
        <f>'[4]13-2营业成本预算表（消防服务项目）'!C30</f>
        <v>0</v>
      </c>
      <c r="D30" s="11">
        <f>'[4]13-2营业成本预算表（消防服务项目）'!D30</f>
        <v>0</v>
      </c>
      <c r="E30" s="11">
        <f t="shared" si="16"/>
        <v>0</v>
      </c>
      <c r="F30" s="40" t="e">
        <f t="shared" si="1"/>
        <v>#DIV/0!</v>
      </c>
      <c r="G30" s="11">
        <f t="shared" si="17"/>
        <v>0</v>
      </c>
      <c r="H30" s="11">
        <f>'[4]13-2营业成本预算表（消防服务项目）'!H30</f>
        <v>0</v>
      </c>
      <c r="I30" s="11">
        <f>'[4]13-2营业成本预算表（消防服务项目）'!I30</f>
        <v>0</v>
      </c>
      <c r="J30" s="11">
        <f>'[4]13-2营业成本预算表（消防服务项目）'!J30</f>
        <v>0</v>
      </c>
      <c r="K30" s="11">
        <f>'[4]13-2营业成本预算表（消防服务项目）'!K30</f>
        <v>0</v>
      </c>
      <c r="L30" s="41" t="e">
        <f t="shared" si="2"/>
        <v>#DIV/0!</v>
      </c>
      <c r="M30" s="5"/>
    </row>
    <row r="31" spans="1:13" ht="18" customHeight="1">
      <c r="A31" s="108" t="s">
        <v>658</v>
      </c>
      <c r="B31" s="11">
        <f>'[4]13-2营业成本预算表（消防服务项目）'!B31</f>
        <v>0</v>
      </c>
      <c r="C31" s="11">
        <f>'[4]13-2营业成本预算表（消防服务项目）'!C31</f>
        <v>0</v>
      </c>
      <c r="D31" s="11">
        <f>'[4]13-2营业成本预算表（消防服务项目）'!D31</f>
        <v>0</v>
      </c>
      <c r="E31" s="11">
        <f t="shared" si="16"/>
        <v>0</v>
      </c>
      <c r="F31" s="40" t="e">
        <f t="shared" si="1"/>
        <v>#DIV/0!</v>
      </c>
      <c r="G31" s="11">
        <f t="shared" si="17"/>
        <v>0</v>
      </c>
      <c r="H31" s="11">
        <f>'[4]13-2营业成本预算表（消防服务项目）'!H31</f>
        <v>0</v>
      </c>
      <c r="I31" s="11">
        <f>'[4]13-2营业成本预算表（消防服务项目）'!I31</f>
        <v>0</v>
      </c>
      <c r="J31" s="11">
        <f>'[4]13-2营业成本预算表（消防服务项目）'!J31</f>
        <v>0</v>
      </c>
      <c r="K31" s="11">
        <f>'[4]13-2营业成本预算表（消防服务项目）'!K31</f>
        <v>0</v>
      </c>
      <c r="L31" s="41" t="e">
        <f t="shared" si="2"/>
        <v>#DIV/0!</v>
      </c>
      <c r="M31" s="5"/>
    </row>
    <row r="32" spans="1:13" ht="18" customHeight="1">
      <c r="A32" s="25" t="s">
        <v>659</v>
      </c>
      <c r="B32" s="26">
        <f aca="true" t="shared" si="18" ref="B32:K32">SUM(B33:B42)</f>
        <v>0</v>
      </c>
      <c r="C32" s="26">
        <f t="shared" si="18"/>
        <v>0</v>
      </c>
      <c r="D32" s="26">
        <f t="shared" si="18"/>
        <v>0</v>
      </c>
      <c r="E32" s="26">
        <f t="shared" si="18"/>
        <v>0</v>
      </c>
      <c r="F32" s="40" t="e">
        <f t="shared" si="1"/>
        <v>#DIV/0!</v>
      </c>
      <c r="G32" s="26">
        <f t="shared" si="18"/>
        <v>5250</v>
      </c>
      <c r="H32" s="26">
        <f t="shared" si="18"/>
        <v>1312.5</v>
      </c>
      <c r="I32" s="26">
        <f t="shared" si="18"/>
        <v>1312.5</v>
      </c>
      <c r="J32" s="26">
        <f t="shared" si="18"/>
        <v>1312.5</v>
      </c>
      <c r="K32" s="26">
        <f t="shared" si="18"/>
        <v>1312.5</v>
      </c>
      <c r="L32" s="41" t="e">
        <f t="shared" si="2"/>
        <v>#DIV/0!</v>
      </c>
      <c r="M32" s="5"/>
    </row>
    <row r="33" spans="1:13" ht="18" customHeight="1">
      <c r="A33" s="25" t="s">
        <v>660</v>
      </c>
      <c r="B33" s="11">
        <f>'[4]13-2营业成本预算表（消防服务项目）'!B33</f>
        <v>0</v>
      </c>
      <c r="C33" s="11">
        <f>'[4]13-2营业成本预算表（消防服务项目）'!C33</f>
        <v>0</v>
      </c>
      <c r="D33" s="11">
        <f>'[4]13-2营业成本预算表（消防服务项目）'!D33</f>
        <v>0</v>
      </c>
      <c r="E33" s="11">
        <f aca="true" t="shared" si="19" ref="E33:E42">C33+D33</f>
        <v>0</v>
      </c>
      <c r="F33" s="40" t="e">
        <f t="shared" si="1"/>
        <v>#DIV/0!</v>
      </c>
      <c r="G33" s="11">
        <f aca="true" t="shared" si="20" ref="G33:G42">SUM(H33:K33)</f>
        <v>0</v>
      </c>
      <c r="H33" s="11">
        <f>'[4]13-2营业成本预算表（消防服务项目）'!H33</f>
        <v>0</v>
      </c>
      <c r="I33" s="11">
        <f>'[4]13-2营业成本预算表（消防服务项目）'!I33</f>
        <v>0</v>
      </c>
      <c r="J33" s="11">
        <f>'[4]13-2营业成本预算表（消防服务项目）'!J33</f>
        <v>0</v>
      </c>
      <c r="K33" s="11">
        <f>'[4]13-2营业成本预算表（消防服务项目）'!K33</f>
        <v>0</v>
      </c>
      <c r="L33" s="41" t="e">
        <f t="shared" si="2"/>
        <v>#DIV/0!</v>
      </c>
      <c r="M33" s="5"/>
    </row>
    <row r="34" spans="1:13" ht="18" customHeight="1">
      <c r="A34" s="25" t="s">
        <v>661</v>
      </c>
      <c r="B34" s="11">
        <f>'[4]13-2营业成本预算表（消防服务项目）'!B34</f>
        <v>0</v>
      </c>
      <c r="C34" s="11">
        <f>'[4]13-2营业成本预算表（消防服务项目）'!C34</f>
        <v>0</v>
      </c>
      <c r="D34" s="11">
        <f>'[4]13-2营业成本预算表（消防服务项目）'!D34</f>
        <v>0</v>
      </c>
      <c r="E34" s="11">
        <f t="shared" si="19"/>
        <v>0</v>
      </c>
      <c r="F34" s="40" t="e">
        <f t="shared" si="1"/>
        <v>#DIV/0!</v>
      </c>
      <c r="G34" s="11">
        <f t="shared" si="20"/>
        <v>0</v>
      </c>
      <c r="H34" s="11">
        <f>'[4]13-2营业成本预算表（消防服务项目）'!H34</f>
        <v>0</v>
      </c>
      <c r="I34" s="11">
        <f>'[4]13-2营业成本预算表（消防服务项目）'!I34</f>
        <v>0</v>
      </c>
      <c r="J34" s="11">
        <f>'[4]13-2营业成本预算表（消防服务项目）'!J34</f>
        <v>0</v>
      </c>
      <c r="K34" s="11">
        <f>'[4]13-2营业成本预算表（消防服务项目）'!K34</f>
        <v>0</v>
      </c>
      <c r="L34" s="41" t="e">
        <f t="shared" si="2"/>
        <v>#DIV/0!</v>
      </c>
      <c r="M34" s="5"/>
    </row>
    <row r="35" spans="1:13" ht="18" customHeight="1">
      <c r="A35" s="25" t="s">
        <v>662</v>
      </c>
      <c r="B35" s="11">
        <f>'[4]13-2营业成本预算表（消防服务项目）'!B35</f>
        <v>0</v>
      </c>
      <c r="C35" s="11">
        <f>'[4]13-2营业成本预算表（消防服务项目）'!C35</f>
        <v>0</v>
      </c>
      <c r="D35" s="11">
        <f>'[4]13-2营业成本预算表（消防服务项目）'!D35</f>
        <v>0</v>
      </c>
      <c r="E35" s="11">
        <f t="shared" si="19"/>
        <v>0</v>
      </c>
      <c r="F35" s="40" t="e">
        <f t="shared" si="1"/>
        <v>#DIV/0!</v>
      </c>
      <c r="G35" s="11">
        <f t="shared" si="20"/>
        <v>0</v>
      </c>
      <c r="H35" s="11">
        <f>'[4]13-2营业成本预算表（消防服务项目）'!H35</f>
        <v>0</v>
      </c>
      <c r="I35" s="11">
        <f>'[4]13-2营业成本预算表（消防服务项目）'!I35</f>
        <v>0</v>
      </c>
      <c r="J35" s="11">
        <f>'[4]13-2营业成本预算表（消防服务项目）'!J35</f>
        <v>0</v>
      </c>
      <c r="K35" s="11">
        <f>'[4]13-2营业成本预算表（消防服务项目）'!K35</f>
        <v>0</v>
      </c>
      <c r="L35" s="41" t="e">
        <f t="shared" si="2"/>
        <v>#DIV/0!</v>
      </c>
      <c r="M35" s="5"/>
    </row>
    <row r="36" spans="1:13" ht="18" customHeight="1">
      <c r="A36" s="25" t="s">
        <v>663</v>
      </c>
      <c r="B36" s="11">
        <f>'[4]13-2营业成本预算表（消防服务项目）'!B36</f>
        <v>0</v>
      </c>
      <c r="C36" s="11">
        <f>'[4]13-2营业成本预算表（消防服务项目）'!C36</f>
        <v>0</v>
      </c>
      <c r="D36" s="11">
        <f>'[4]13-2营业成本预算表（消防服务项目）'!D36</f>
        <v>0</v>
      </c>
      <c r="E36" s="11">
        <f t="shared" si="19"/>
        <v>0</v>
      </c>
      <c r="F36" s="40" t="e">
        <f t="shared" si="1"/>
        <v>#DIV/0!</v>
      </c>
      <c r="G36" s="11">
        <f t="shared" si="20"/>
        <v>0</v>
      </c>
      <c r="H36" s="11">
        <f>'[4]13-2营业成本预算表（消防服务项目）'!H36</f>
        <v>0</v>
      </c>
      <c r="I36" s="11">
        <f>'[4]13-2营业成本预算表（消防服务项目）'!I36</f>
        <v>0</v>
      </c>
      <c r="J36" s="11">
        <f>'[4]13-2营业成本预算表（消防服务项目）'!J36</f>
        <v>0</v>
      </c>
      <c r="K36" s="11">
        <f>'[4]13-2营业成本预算表（消防服务项目）'!K36</f>
        <v>0</v>
      </c>
      <c r="L36" s="41" t="e">
        <f t="shared" si="2"/>
        <v>#DIV/0!</v>
      </c>
      <c r="M36" s="5"/>
    </row>
    <row r="37" spans="1:13" ht="18" customHeight="1">
      <c r="A37" s="25" t="s">
        <v>664</v>
      </c>
      <c r="B37" s="11">
        <f>'[4]13-2营业成本预算表（消防服务项目）'!B37</f>
        <v>0</v>
      </c>
      <c r="C37" s="11">
        <f>'[4]13-2营业成本预算表（消防服务项目）'!C37</f>
        <v>0</v>
      </c>
      <c r="D37" s="11">
        <f>'[4]13-2营业成本预算表（消防服务项目）'!D37</f>
        <v>0</v>
      </c>
      <c r="E37" s="11">
        <f t="shared" si="19"/>
        <v>0</v>
      </c>
      <c r="F37" s="40" t="e">
        <f t="shared" si="1"/>
        <v>#DIV/0!</v>
      </c>
      <c r="G37" s="11">
        <f t="shared" si="20"/>
        <v>0</v>
      </c>
      <c r="H37" s="11">
        <f>'[4]13-2营业成本预算表（消防服务项目）'!H37</f>
        <v>0</v>
      </c>
      <c r="I37" s="11">
        <f>'[4]13-2营业成本预算表（消防服务项目）'!I37</f>
        <v>0</v>
      </c>
      <c r="J37" s="11">
        <f>'[4]13-2营业成本预算表（消防服务项目）'!J37</f>
        <v>0</v>
      </c>
      <c r="K37" s="11">
        <f>'[4]13-2营业成本预算表（消防服务项目）'!K37</f>
        <v>0</v>
      </c>
      <c r="L37" s="41" t="e">
        <f t="shared" si="2"/>
        <v>#DIV/0!</v>
      </c>
      <c r="M37" s="5"/>
    </row>
    <row r="38" spans="1:13" ht="18" customHeight="1">
      <c r="A38" s="25" t="s">
        <v>665</v>
      </c>
      <c r="B38" s="11">
        <f>'[4]13-2营业成本预算表（消防服务项目）'!B38</f>
        <v>0</v>
      </c>
      <c r="C38" s="11">
        <f>'[4]13-2营业成本预算表（消防服务项目）'!C38</f>
        <v>0</v>
      </c>
      <c r="D38" s="11">
        <f>'[4]13-2营业成本预算表（消防服务项目）'!D38</f>
        <v>0</v>
      </c>
      <c r="E38" s="11">
        <f t="shared" si="19"/>
        <v>0</v>
      </c>
      <c r="F38" s="40" t="e">
        <f t="shared" si="1"/>
        <v>#DIV/0!</v>
      </c>
      <c r="G38" s="11">
        <f t="shared" si="20"/>
        <v>0</v>
      </c>
      <c r="H38" s="11">
        <f>'[4]13-2营业成本预算表（消防服务项目）'!H38</f>
        <v>0</v>
      </c>
      <c r="I38" s="11">
        <f>'[4]13-2营业成本预算表（消防服务项目）'!I38</f>
        <v>0</v>
      </c>
      <c r="J38" s="11">
        <f>'[4]13-2营业成本预算表（消防服务项目）'!J38</f>
        <v>0</v>
      </c>
      <c r="K38" s="11">
        <f>'[4]13-2营业成本预算表（消防服务项目）'!K38</f>
        <v>0</v>
      </c>
      <c r="L38" s="41" t="e">
        <f t="shared" si="2"/>
        <v>#DIV/0!</v>
      </c>
      <c r="M38" s="5"/>
    </row>
    <row r="39" spans="1:13" ht="18" customHeight="1">
      <c r="A39" s="25" t="s">
        <v>666</v>
      </c>
      <c r="B39" s="11">
        <f>'[4]13-2营业成本预算表（消防服务项目）'!B39</f>
        <v>0</v>
      </c>
      <c r="C39" s="11">
        <f>'[4]13-2营业成本预算表（消防服务项目）'!C39</f>
        <v>0</v>
      </c>
      <c r="D39" s="11">
        <f>'[4]13-2营业成本预算表（消防服务项目）'!D39</f>
        <v>0</v>
      </c>
      <c r="E39" s="11">
        <f t="shared" si="19"/>
        <v>0</v>
      </c>
      <c r="F39" s="40" t="e">
        <f t="shared" si="1"/>
        <v>#DIV/0!</v>
      </c>
      <c r="G39" s="11">
        <f t="shared" si="20"/>
        <v>0</v>
      </c>
      <c r="H39" s="11">
        <f>'[4]13-2营业成本预算表（消防服务项目）'!H39</f>
        <v>0</v>
      </c>
      <c r="I39" s="11">
        <f>'[4]13-2营业成本预算表（消防服务项目）'!I39</f>
        <v>0</v>
      </c>
      <c r="J39" s="11">
        <f>'[4]13-2营业成本预算表（消防服务项目）'!J39</f>
        <v>0</v>
      </c>
      <c r="K39" s="11">
        <f>'[4]13-2营业成本预算表（消防服务项目）'!K39</f>
        <v>0</v>
      </c>
      <c r="L39" s="41" t="e">
        <f t="shared" si="2"/>
        <v>#DIV/0!</v>
      </c>
      <c r="M39" s="5"/>
    </row>
    <row r="40" spans="1:13" ht="18" customHeight="1">
      <c r="A40" s="25" t="s">
        <v>667</v>
      </c>
      <c r="B40" s="11">
        <f>'[4]13-2营业成本预算表（消防服务项目）'!B40</f>
        <v>0</v>
      </c>
      <c r="C40" s="11">
        <f>'[4]13-2营业成本预算表（消防服务项目）'!C40</f>
        <v>0</v>
      </c>
      <c r="D40" s="11">
        <f>'[4]13-2营业成本预算表（消防服务项目）'!D40</f>
        <v>0</v>
      </c>
      <c r="E40" s="11">
        <f t="shared" si="19"/>
        <v>0</v>
      </c>
      <c r="F40" s="40" t="e">
        <f t="shared" si="1"/>
        <v>#DIV/0!</v>
      </c>
      <c r="G40" s="11">
        <f t="shared" si="20"/>
        <v>5250</v>
      </c>
      <c r="H40" s="11">
        <f>'[4]13-2营业成本预算表（消防服务项目）'!H40</f>
        <v>1312.5</v>
      </c>
      <c r="I40" s="11">
        <f>'[4]13-2营业成本预算表（消防服务项目）'!I40</f>
        <v>1312.5</v>
      </c>
      <c r="J40" s="11">
        <f>'[4]13-2营业成本预算表（消防服务项目）'!J40</f>
        <v>1312.5</v>
      </c>
      <c r="K40" s="11">
        <f>'[4]13-2营业成本预算表（消防服务项目）'!K40</f>
        <v>1312.5</v>
      </c>
      <c r="L40" s="41" t="e">
        <f t="shared" si="2"/>
        <v>#DIV/0!</v>
      </c>
      <c r="M40" s="5"/>
    </row>
    <row r="41" spans="1:13" ht="18" customHeight="1">
      <c r="A41" s="25" t="s">
        <v>668</v>
      </c>
      <c r="B41" s="11">
        <f>'[4]13-2营业成本预算表（消防服务项目）'!B41</f>
        <v>0</v>
      </c>
      <c r="C41" s="11">
        <f>'[4]13-2营业成本预算表（消防服务项目）'!C41</f>
        <v>0</v>
      </c>
      <c r="D41" s="11">
        <f>'[4]13-2营业成本预算表（消防服务项目）'!D41</f>
        <v>0</v>
      </c>
      <c r="E41" s="11">
        <f t="shared" si="19"/>
        <v>0</v>
      </c>
      <c r="F41" s="40" t="e">
        <f t="shared" si="1"/>
        <v>#DIV/0!</v>
      </c>
      <c r="G41" s="11">
        <f t="shared" si="20"/>
        <v>0</v>
      </c>
      <c r="H41" s="11">
        <f>'[4]13-2营业成本预算表（消防服务项目）'!H41</f>
        <v>0</v>
      </c>
      <c r="I41" s="11">
        <f>'[4]13-2营业成本预算表（消防服务项目）'!I41</f>
        <v>0</v>
      </c>
      <c r="J41" s="11">
        <f>'[4]13-2营业成本预算表（消防服务项目）'!J41</f>
        <v>0</v>
      </c>
      <c r="K41" s="11">
        <f>'[4]13-2营业成本预算表（消防服务项目）'!K41</f>
        <v>0</v>
      </c>
      <c r="L41" s="41" t="e">
        <f t="shared" si="2"/>
        <v>#DIV/0!</v>
      </c>
      <c r="M41" s="5"/>
    </row>
    <row r="42" spans="1:13" ht="18" customHeight="1">
      <c r="A42" s="25" t="s">
        <v>669</v>
      </c>
      <c r="B42" s="11">
        <f>'[4]13-2营业成本预算表（消防服务项目）'!B42</f>
        <v>0</v>
      </c>
      <c r="C42" s="11">
        <f>'[4]13-2营业成本预算表（消防服务项目）'!C42</f>
        <v>0</v>
      </c>
      <c r="D42" s="11">
        <f>'[4]13-2营业成本预算表（消防服务项目）'!D42</f>
        <v>0</v>
      </c>
      <c r="E42" s="11">
        <f t="shared" si="19"/>
        <v>0</v>
      </c>
      <c r="F42" s="40" t="e">
        <f t="shared" si="1"/>
        <v>#DIV/0!</v>
      </c>
      <c r="G42" s="11">
        <f t="shared" si="20"/>
        <v>0</v>
      </c>
      <c r="H42" s="11">
        <f>'[4]13-2营业成本预算表（消防服务项目）'!H42</f>
        <v>0</v>
      </c>
      <c r="I42" s="11">
        <f>'[4]13-2营业成本预算表（消防服务项目）'!I42</f>
        <v>0</v>
      </c>
      <c r="J42" s="11">
        <f>'[4]13-2营业成本预算表（消防服务项目）'!J42</f>
        <v>0</v>
      </c>
      <c r="K42" s="11">
        <f>'[4]13-2营业成本预算表（消防服务项目）'!K42</f>
        <v>0</v>
      </c>
      <c r="L42" s="41" t="e">
        <f t="shared" si="2"/>
        <v>#DIV/0!</v>
      </c>
      <c r="M42" s="5"/>
    </row>
    <row r="43" spans="1:13" ht="18" customHeight="1">
      <c r="A43" s="25" t="s">
        <v>670</v>
      </c>
      <c r="B43" s="11">
        <f aca="true" t="shared" si="21" ref="B43:K43">SUM(B44:B46)</f>
        <v>0</v>
      </c>
      <c r="C43" s="11">
        <f t="shared" si="21"/>
        <v>0</v>
      </c>
      <c r="D43" s="11">
        <f t="shared" si="21"/>
        <v>0</v>
      </c>
      <c r="E43" s="11">
        <f t="shared" si="21"/>
        <v>0</v>
      </c>
      <c r="F43" s="40" t="e">
        <f t="shared" si="1"/>
        <v>#DIV/0!</v>
      </c>
      <c r="G43" s="11">
        <f t="shared" si="21"/>
        <v>0</v>
      </c>
      <c r="H43" s="11">
        <f t="shared" si="21"/>
        <v>0</v>
      </c>
      <c r="I43" s="11">
        <f t="shared" si="21"/>
        <v>0</v>
      </c>
      <c r="J43" s="11">
        <f t="shared" si="21"/>
        <v>0</v>
      </c>
      <c r="K43" s="11">
        <f t="shared" si="21"/>
        <v>0</v>
      </c>
      <c r="L43" s="41" t="e">
        <f t="shared" si="2"/>
        <v>#DIV/0!</v>
      </c>
      <c r="M43" s="5"/>
    </row>
    <row r="44" spans="1:13" ht="18" customHeight="1">
      <c r="A44" s="25" t="s">
        <v>671</v>
      </c>
      <c r="B44" s="11">
        <f>'[4]13-2营业成本预算表（消防服务项目）'!B44</f>
        <v>0</v>
      </c>
      <c r="C44" s="11">
        <f>'[4]13-2营业成本预算表（消防服务项目）'!C44</f>
        <v>0</v>
      </c>
      <c r="D44" s="11">
        <f>'[4]13-2营业成本预算表（消防服务项目）'!D44</f>
        <v>0</v>
      </c>
      <c r="E44" s="11">
        <f aca="true" t="shared" si="22" ref="E44:E46">C44+D44</f>
        <v>0</v>
      </c>
      <c r="F44" s="40" t="e">
        <f t="shared" si="1"/>
        <v>#DIV/0!</v>
      </c>
      <c r="G44" s="11">
        <f aca="true" t="shared" si="23" ref="G44:G46">SUM(H44:K44)</f>
        <v>0</v>
      </c>
      <c r="H44" s="11">
        <f>'[4]13-2营业成本预算表（消防服务项目）'!H44</f>
        <v>0</v>
      </c>
      <c r="I44" s="11">
        <f>'[4]13-2营业成本预算表（消防服务项目）'!I44</f>
        <v>0</v>
      </c>
      <c r="J44" s="11">
        <f>'[4]13-2营业成本预算表（消防服务项目）'!J44</f>
        <v>0</v>
      </c>
      <c r="K44" s="11">
        <f>'[4]13-2营业成本预算表（消防服务项目）'!K44</f>
        <v>0</v>
      </c>
      <c r="L44" s="41" t="e">
        <f t="shared" si="2"/>
        <v>#DIV/0!</v>
      </c>
      <c r="M44" s="5"/>
    </row>
    <row r="45" spans="1:13" ht="18" customHeight="1">
      <c r="A45" s="25" t="s">
        <v>672</v>
      </c>
      <c r="B45" s="11">
        <f>'[4]13-2营业成本预算表（消防服务项目）'!B45</f>
        <v>0</v>
      </c>
      <c r="C45" s="11">
        <f>'[4]13-2营业成本预算表（消防服务项目）'!C45</f>
        <v>0</v>
      </c>
      <c r="D45" s="11">
        <f>'[4]13-2营业成本预算表（消防服务项目）'!D45</f>
        <v>0</v>
      </c>
      <c r="E45" s="11">
        <f t="shared" si="22"/>
        <v>0</v>
      </c>
      <c r="F45" s="40" t="e">
        <f t="shared" si="1"/>
        <v>#DIV/0!</v>
      </c>
      <c r="G45" s="11">
        <f t="shared" si="23"/>
        <v>0</v>
      </c>
      <c r="H45" s="11">
        <f>'[4]13-2营业成本预算表（消防服务项目）'!H45</f>
        <v>0</v>
      </c>
      <c r="I45" s="11">
        <f>'[4]13-2营业成本预算表（消防服务项目）'!I45</f>
        <v>0</v>
      </c>
      <c r="J45" s="11">
        <f>'[4]13-2营业成本预算表（消防服务项目）'!J45</f>
        <v>0</v>
      </c>
      <c r="K45" s="11">
        <f>'[4]13-2营业成本预算表（消防服务项目）'!K45</f>
        <v>0</v>
      </c>
      <c r="L45" s="41" t="e">
        <f t="shared" si="2"/>
        <v>#DIV/0!</v>
      </c>
      <c r="M45" s="5"/>
    </row>
    <row r="46" spans="1:13" ht="18" customHeight="1">
      <c r="A46" s="25" t="s">
        <v>673</v>
      </c>
      <c r="B46" s="11">
        <f>'[4]13-2营业成本预算表（消防服务项目）'!B46</f>
        <v>0</v>
      </c>
      <c r="C46" s="11">
        <f>'[4]13-2营业成本预算表（消防服务项目）'!C46</f>
        <v>0</v>
      </c>
      <c r="D46" s="11">
        <f>'[4]13-2营业成本预算表（消防服务项目）'!D46</f>
        <v>0</v>
      </c>
      <c r="E46" s="11">
        <f t="shared" si="22"/>
        <v>0</v>
      </c>
      <c r="F46" s="40" t="e">
        <f t="shared" si="1"/>
        <v>#DIV/0!</v>
      </c>
      <c r="G46" s="11">
        <f t="shared" si="23"/>
        <v>0</v>
      </c>
      <c r="H46" s="11">
        <f>'[4]13-2营业成本预算表（消防服务项目）'!H46</f>
        <v>0</v>
      </c>
      <c r="I46" s="11">
        <f>'[4]13-2营业成本预算表（消防服务项目）'!I46</f>
        <v>0</v>
      </c>
      <c r="J46" s="11">
        <f>'[4]13-2营业成本预算表（消防服务项目）'!J46</f>
        <v>0</v>
      </c>
      <c r="K46" s="11">
        <f>'[4]13-2营业成本预算表（消防服务项目）'!K46</f>
        <v>0</v>
      </c>
      <c r="L46" s="41" t="e">
        <f t="shared" si="2"/>
        <v>#DIV/0!</v>
      </c>
      <c r="M46" s="5"/>
    </row>
    <row r="47" spans="1:13" ht="18" customHeight="1">
      <c r="A47" s="25" t="s">
        <v>674</v>
      </c>
      <c r="B47" s="11"/>
      <c r="C47" s="12"/>
      <c r="D47" s="12"/>
      <c r="E47" s="11"/>
      <c r="F47" s="40"/>
      <c r="G47" s="11"/>
      <c r="H47" s="12"/>
      <c r="I47" s="12"/>
      <c r="J47" s="12"/>
      <c r="K47" s="12"/>
      <c r="L47" s="41"/>
      <c r="M47" s="5"/>
    </row>
    <row r="48" spans="1:13" ht="18" customHeight="1">
      <c r="A48" s="25" t="s">
        <v>628</v>
      </c>
      <c r="B48" s="11"/>
      <c r="C48" s="12"/>
      <c r="D48" s="12"/>
      <c r="E48" s="11"/>
      <c r="F48" s="40"/>
      <c r="G48" s="11"/>
      <c r="H48" s="12"/>
      <c r="I48" s="12"/>
      <c r="J48" s="12"/>
      <c r="K48" s="12"/>
      <c r="L48" s="41"/>
      <c r="M48" s="5"/>
    </row>
    <row r="49" spans="1:13" ht="18" customHeight="1">
      <c r="A49" s="25"/>
      <c r="B49" s="11"/>
      <c r="C49" s="12"/>
      <c r="D49" s="12"/>
      <c r="E49" s="11"/>
      <c r="F49" s="40"/>
      <c r="G49" s="11"/>
      <c r="H49" s="12"/>
      <c r="I49" s="12"/>
      <c r="J49" s="12"/>
      <c r="K49" s="12"/>
      <c r="L49" s="41"/>
      <c r="M49" s="5"/>
    </row>
    <row r="50" spans="1:13" ht="18" customHeight="1">
      <c r="A50" s="5"/>
      <c r="B50" s="5"/>
      <c r="C50" s="16"/>
      <c r="D50" s="4" t="s">
        <v>629</v>
      </c>
      <c r="E50" s="5"/>
      <c r="F50" s="5"/>
      <c r="G50" s="5"/>
      <c r="H50" s="16"/>
      <c r="I50" s="17" t="s">
        <v>630</v>
      </c>
      <c r="J50" s="5"/>
      <c r="K50" s="5"/>
      <c r="L50" s="5"/>
      <c r="M50" s="5"/>
    </row>
  </sheetData>
  <sheetProtection/>
  <mergeCells count="6">
    <mergeCell ref="A1:M1"/>
    <mergeCell ref="B3:F3"/>
    <mergeCell ref="G3:K3"/>
    <mergeCell ref="A3:A4"/>
    <mergeCell ref="L3:L4"/>
    <mergeCell ref="M3:M4"/>
  </mergeCells>
  <printOptions/>
  <pageMargins left="1.18" right="0.19" top="0.55" bottom="0.39" header="0.28" footer="0.16"/>
  <pageSetup fitToHeight="1" fitToWidth="1" horizontalDpi="300" verticalDpi="300" orientation="landscape" paperSize="9" scale="76"/>
</worksheet>
</file>

<file path=xl/worksheets/sheet3.xml><?xml version="1.0" encoding="utf-8"?>
<worksheet xmlns="http://schemas.openxmlformats.org/spreadsheetml/2006/main" xmlns:r="http://schemas.openxmlformats.org/officeDocument/2006/relationships">
  <sheetPr>
    <pageSetUpPr fitToPage="1"/>
  </sheetPr>
  <dimension ref="A1:N15"/>
  <sheetViews>
    <sheetView workbookViewId="0" topLeftCell="A1">
      <selection activeCell="B8" sqref="B8"/>
    </sheetView>
  </sheetViews>
  <sheetFormatPr defaultColWidth="9.140625" defaultRowHeight="12.75"/>
  <cols>
    <col min="1" max="1" width="24.421875" style="180" customWidth="1"/>
    <col min="2" max="4" width="14.00390625" style="180" customWidth="1"/>
    <col min="5" max="5" width="14.421875" style="180" customWidth="1"/>
    <col min="6" max="14" width="14.00390625" style="180" customWidth="1"/>
    <col min="15" max="16384" width="9.140625" style="180" customWidth="1"/>
  </cols>
  <sheetData>
    <row r="1" spans="1:14" ht="18" customHeight="1">
      <c r="A1" s="140" t="s">
        <v>363</v>
      </c>
      <c r="B1" s="140" t="s">
        <v>363</v>
      </c>
      <c r="C1" s="140" t="s">
        <v>363</v>
      </c>
      <c r="D1" s="140" t="s">
        <v>363</v>
      </c>
      <c r="E1" s="140" t="s">
        <v>363</v>
      </c>
      <c r="F1" s="140" t="s">
        <v>363</v>
      </c>
      <c r="G1" s="140" t="s">
        <v>363</v>
      </c>
      <c r="H1" s="140" t="s">
        <v>363</v>
      </c>
      <c r="I1" s="140" t="s">
        <v>363</v>
      </c>
      <c r="J1" s="140" t="s">
        <v>363</v>
      </c>
      <c r="K1" s="140" t="s">
        <v>363</v>
      </c>
      <c r="L1" s="140" t="s">
        <v>363</v>
      </c>
      <c r="M1" s="140" t="s">
        <v>363</v>
      </c>
      <c r="N1" s="140" t="s">
        <v>363</v>
      </c>
    </row>
    <row r="2" spans="1:14" ht="18" customHeight="1">
      <c r="A2" s="157" t="s">
        <v>364</v>
      </c>
      <c r="B2" s="182"/>
      <c r="C2" s="183"/>
      <c r="D2" s="184"/>
      <c r="E2" s="157"/>
      <c r="F2" s="157"/>
      <c r="G2" s="196" t="s">
        <v>288</v>
      </c>
      <c r="H2" s="157"/>
      <c r="I2" s="157"/>
      <c r="J2" s="157"/>
      <c r="K2" s="163"/>
      <c r="L2" s="157"/>
      <c r="M2" s="163" t="s">
        <v>365</v>
      </c>
      <c r="N2" s="157"/>
    </row>
    <row r="3" spans="1:14" ht="18" customHeight="1">
      <c r="A3" s="123" t="s">
        <v>290</v>
      </c>
      <c r="B3" s="204" t="s">
        <v>366</v>
      </c>
      <c r="C3" s="204"/>
      <c r="D3" s="204"/>
      <c r="E3" s="205"/>
      <c r="F3" s="150" t="s">
        <v>292</v>
      </c>
      <c r="G3" s="150" t="s">
        <v>292</v>
      </c>
      <c r="H3" s="150" t="s">
        <v>292</v>
      </c>
      <c r="I3" s="150" t="s">
        <v>292</v>
      </c>
      <c r="J3" s="150" t="s">
        <v>293</v>
      </c>
      <c r="K3" s="150" t="s">
        <v>293</v>
      </c>
      <c r="L3" s="150" t="s">
        <v>293</v>
      </c>
      <c r="M3" s="150" t="s">
        <v>293</v>
      </c>
      <c r="N3" s="123" t="s">
        <v>33</v>
      </c>
    </row>
    <row r="4" spans="1:14" ht="18" customHeight="1">
      <c r="A4" s="123" t="s">
        <v>290</v>
      </c>
      <c r="B4" s="150" t="s">
        <v>367</v>
      </c>
      <c r="C4" s="150" t="s">
        <v>368</v>
      </c>
      <c r="D4" s="150" t="s">
        <v>369</v>
      </c>
      <c r="E4" s="150" t="s">
        <v>370</v>
      </c>
      <c r="F4" s="150" t="s">
        <v>367</v>
      </c>
      <c r="G4" s="150" t="s">
        <v>368</v>
      </c>
      <c r="H4" s="150" t="s">
        <v>369</v>
      </c>
      <c r="I4" s="150" t="s">
        <v>370</v>
      </c>
      <c r="J4" s="208" t="s">
        <v>367</v>
      </c>
      <c r="K4" s="154" t="s">
        <v>368</v>
      </c>
      <c r="L4" s="154" t="s">
        <v>369</v>
      </c>
      <c r="M4" s="154" t="s">
        <v>370</v>
      </c>
      <c r="N4" s="123" t="s">
        <v>33</v>
      </c>
    </row>
    <row r="5" spans="1:14" ht="30" customHeight="1">
      <c r="A5" s="123" t="s">
        <v>290</v>
      </c>
      <c r="B5" s="150" t="s">
        <v>367</v>
      </c>
      <c r="C5" s="150" t="s">
        <v>368</v>
      </c>
      <c r="D5" s="150" t="s">
        <v>369</v>
      </c>
      <c r="E5" s="150" t="s">
        <v>370</v>
      </c>
      <c r="F5" s="150" t="s">
        <v>367</v>
      </c>
      <c r="G5" s="150" t="s">
        <v>368</v>
      </c>
      <c r="H5" s="150" t="s">
        <v>369</v>
      </c>
      <c r="I5" s="150" t="s">
        <v>370</v>
      </c>
      <c r="J5" s="208" t="s">
        <v>367</v>
      </c>
      <c r="K5" s="154" t="s">
        <v>368</v>
      </c>
      <c r="L5" s="154" t="s">
        <v>369</v>
      </c>
      <c r="M5" s="154" t="s">
        <v>370</v>
      </c>
      <c r="N5" s="123" t="s">
        <v>33</v>
      </c>
    </row>
    <row r="6" spans="1:14" ht="18" customHeight="1">
      <c r="A6" s="151" t="s">
        <v>371</v>
      </c>
      <c r="B6" s="206">
        <f>B7+B14</f>
        <v>148</v>
      </c>
      <c r="C6" s="206">
        <f aca="true" t="shared" si="0" ref="C6:I6">C7+C14</f>
        <v>148</v>
      </c>
      <c r="D6" s="206">
        <f t="shared" si="0"/>
        <v>148</v>
      </c>
      <c r="E6" s="206">
        <f t="shared" si="0"/>
        <v>147</v>
      </c>
      <c r="F6" s="206">
        <f t="shared" si="0"/>
        <v>148</v>
      </c>
      <c r="G6" s="206">
        <f t="shared" si="0"/>
        <v>148</v>
      </c>
      <c r="H6" s="206">
        <f t="shared" si="0"/>
        <v>148</v>
      </c>
      <c r="I6" s="206">
        <f t="shared" si="0"/>
        <v>147</v>
      </c>
      <c r="J6" s="209">
        <f>F6/B6</f>
        <v>1</v>
      </c>
      <c r="K6" s="209">
        <f>G6/C6</f>
        <v>1</v>
      </c>
      <c r="L6" s="209">
        <f>H6/D6</f>
        <v>1</v>
      </c>
      <c r="M6" s="209">
        <f>I6/E6</f>
        <v>1</v>
      </c>
      <c r="N6" s="157"/>
    </row>
    <row r="7" spans="1:14" ht="18" customHeight="1">
      <c r="A7" s="151" t="s">
        <v>372</v>
      </c>
      <c r="B7" s="206">
        <f>SUM(B8:B13)</f>
        <v>148</v>
      </c>
      <c r="C7" s="206">
        <f aca="true" t="shared" si="1" ref="C7:I7">SUM(C8:C13)</f>
        <v>148</v>
      </c>
      <c r="D7" s="206">
        <f t="shared" si="1"/>
        <v>148</v>
      </c>
      <c r="E7" s="206">
        <f t="shared" si="1"/>
        <v>147</v>
      </c>
      <c r="F7" s="206">
        <f t="shared" si="1"/>
        <v>148</v>
      </c>
      <c r="G7" s="206">
        <f t="shared" si="1"/>
        <v>148</v>
      </c>
      <c r="H7" s="206">
        <f t="shared" si="1"/>
        <v>148</v>
      </c>
      <c r="I7" s="206">
        <f t="shared" si="1"/>
        <v>147</v>
      </c>
      <c r="J7" s="209">
        <f aca="true" t="shared" si="2" ref="J7:J14">F7/B7</f>
        <v>1</v>
      </c>
      <c r="K7" s="209">
        <f aca="true" t="shared" si="3" ref="K7:K14">G7/C7</f>
        <v>1</v>
      </c>
      <c r="L7" s="209">
        <f aca="true" t="shared" si="4" ref="L7:L14">H7/D7</f>
        <v>1</v>
      </c>
      <c r="M7" s="209">
        <f aca="true" t="shared" si="5" ref="M7:M14">I7/E7</f>
        <v>1</v>
      </c>
      <c r="N7" s="157"/>
    </row>
    <row r="8" spans="1:14" ht="18" customHeight="1">
      <c r="A8" s="151" t="s">
        <v>373</v>
      </c>
      <c r="B8" s="207">
        <f>'[3]3)人员情况表'!B8</f>
        <v>3</v>
      </c>
      <c r="C8" s="207">
        <f>'[3]3)人员情况表'!C8</f>
        <v>3</v>
      </c>
      <c r="D8" s="207">
        <f>'[3]3)人员情况表'!D8</f>
        <v>3</v>
      </c>
      <c r="E8" s="207">
        <f>'[3]3)人员情况表'!E8</f>
        <v>3</v>
      </c>
      <c r="F8" s="207">
        <f>'[3]3)人员情况表'!F8</f>
        <v>3</v>
      </c>
      <c r="G8" s="207">
        <f>'[3]3)人员情况表'!G8</f>
        <v>3</v>
      </c>
      <c r="H8" s="207">
        <f>'[3]3)人员情况表'!H8</f>
        <v>3</v>
      </c>
      <c r="I8" s="207">
        <f>'[3]3)人员情况表'!I8</f>
        <v>3</v>
      </c>
      <c r="J8" s="209">
        <f t="shared" si="2"/>
        <v>1</v>
      </c>
      <c r="K8" s="209">
        <f t="shared" si="3"/>
        <v>1</v>
      </c>
      <c r="L8" s="209">
        <f t="shared" si="4"/>
        <v>1</v>
      </c>
      <c r="M8" s="209">
        <f t="shared" si="5"/>
        <v>1</v>
      </c>
      <c r="N8" s="157"/>
    </row>
    <row r="9" spans="1:14" ht="18" customHeight="1">
      <c r="A9" s="151" t="s">
        <v>374</v>
      </c>
      <c r="B9" s="207">
        <f>'[3]3)人员情况表'!B9+'[4]3)人员情况表'!B8+'[5]3)人员情况表'!B8</f>
        <v>22</v>
      </c>
      <c r="C9" s="207">
        <f>'[3]3)人员情况表'!C9+'[4]3)人员情况表'!C8+'[5]3)人员情况表'!C8</f>
        <v>22</v>
      </c>
      <c r="D9" s="207">
        <f>'[3]3)人员情况表'!D9+'[4]3)人员情况表'!D8+'[5]3)人员情况表'!D8</f>
        <v>22</v>
      </c>
      <c r="E9" s="207">
        <f>'[3]3)人员情况表'!E9+'[4]3)人员情况表'!E8+'[5]3)人员情况表'!E8</f>
        <v>22</v>
      </c>
      <c r="F9" s="207">
        <f>'[3]3)人员情况表'!F9+'[4]3)人员情况表'!F8+'[5]3)人员情况表'!F8</f>
        <v>24</v>
      </c>
      <c r="G9" s="207">
        <f>'[3]3)人员情况表'!G9+'[4]3)人员情况表'!G8+'[5]3)人员情况表'!G8</f>
        <v>24</v>
      </c>
      <c r="H9" s="207">
        <f>'[3]3)人员情况表'!H9+'[4]3)人员情况表'!H8+'[5]3)人员情况表'!H8</f>
        <v>24</v>
      </c>
      <c r="I9" s="207">
        <f>'[3]3)人员情况表'!I9+'[4]3)人员情况表'!I8+'[5]3)人员情况表'!I8</f>
        <v>24</v>
      </c>
      <c r="J9" s="209">
        <f t="shared" si="2"/>
        <v>1.0909090909090908</v>
      </c>
      <c r="K9" s="209">
        <f t="shared" si="3"/>
        <v>1.0909090909090908</v>
      </c>
      <c r="L9" s="209">
        <f t="shared" si="4"/>
        <v>1.0909090909090908</v>
      </c>
      <c r="M9" s="209">
        <f t="shared" si="5"/>
        <v>1.0909090909090908</v>
      </c>
      <c r="N9" s="157"/>
    </row>
    <row r="10" spans="1:14" ht="18" customHeight="1">
      <c r="A10" s="151" t="s">
        <v>375</v>
      </c>
      <c r="B10" s="207">
        <f>'[3]3)人员情况表'!B10+'[4]3)人员情况表'!B9+'[4]3)人员情况表'!B10+'[5]3)人员情况表'!B9+'[5]3)人员情况表'!B10</f>
        <v>85</v>
      </c>
      <c r="C10" s="207">
        <f>'[3]3)人员情况表'!C10+'[4]3)人员情况表'!C9+'[4]3)人员情况表'!C10+'[5]3)人员情况表'!C9+'[5]3)人员情况表'!C10</f>
        <v>85</v>
      </c>
      <c r="D10" s="207">
        <f>'[3]3)人员情况表'!D10+'[4]3)人员情况表'!D9+'[4]3)人员情况表'!D10+'[5]3)人员情况表'!D9+'[5]3)人员情况表'!D10</f>
        <v>85</v>
      </c>
      <c r="E10" s="207">
        <f>'[3]3)人员情况表'!E10+'[4]3)人员情况表'!E9+'[4]3)人员情况表'!E10+'[5]3)人员情况表'!E9+'[5]3)人员情况表'!E10</f>
        <v>85</v>
      </c>
      <c r="F10" s="207">
        <f>'[3]3)人员情况表'!F10+'[4]3)人员情况表'!F9+'[4]3)人员情况表'!F10+'[5]3)人员情况表'!F9+'[5]3)人员情况表'!F10</f>
        <v>85</v>
      </c>
      <c r="G10" s="207">
        <f>'[3]3)人员情况表'!G10+'[4]3)人员情况表'!G9+'[4]3)人员情况表'!G10+'[5]3)人员情况表'!G9+'[5]3)人员情况表'!G10</f>
        <v>85</v>
      </c>
      <c r="H10" s="207">
        <f>'[3]3)人员情况表'!H10+'[4]3)人员情况表'!H9+'[4]3)人员情况表'!H10+'[5]3)人员情况表'!H9+'[5]3)人员情况表'!H10</f>
        <v>85</v>
      </c>
      <c r="I10" s="207">
        <f>'[3]3)人员情况表'!I10+'[4]3)人员情况表'!I9+'[4]3)人员情况表'!I10+'[5]3)人员情况表'!I9+'[5]3)人员情况表'!I10</f>
        <v>85</v>
      </c>
      <c r="J10" s="209">
        <f t="shared" si="2"/>
        <v>1</v>
      </c>
      <c r="K10" s="209">
        <f t="shared" si="3"/>
        <v>1</v>
      </c>
      <c r="L10" s="209">
        <f t="shared" si="4"/>
        <v>1</v>
      </c>
      <c r="M10" s="209">
        <f t="shared" si="5"/>
        <v>1</v>
      </c>
      <c r="N10" s="157"/>
    </row>
    <row r="11" spans="1:14" ht="18" customHeight="1">
      <c r="A11" s="151" t="s">
        <v>376</v>
      </c>
      <c r="B11" s="207">
        <f>'[3]3)人员情况表'!B11+'[4]3)人员情况表'!B11+'[5]3)人员情况表'!B11</f>
        <v>37</v>
      </c>
      <c r="C11" s="207">
        <f>'[3]3)人员情况表'!C11+'[4]3)人员情况表'!C11+'[5]3)人员情况表'!C11</f>
        <v>37</v>
      </c>
      <c r="D11" s="207">
        <f>'[3]3)人员情况表'!D11+'[4]3)人员情况表'!D11+'[5]3)人员情况表'!D11</f>
        <v>37</v>
      </c>
      <c r="E11" s="207">
        <f>'[3]3)人员情况表'!E11+'[4]3)人员情况表'!E11+'[5]3)人员情况表'!E11</f>
        <v>37</v>
      </c>
      <c r="F11" s="207">
        <f>'[3]3)人员情况表'!F11+'[4]3)人员情况表'!F11+'[5]3)人员情况表'!F11</f>
        <v>35</v>
      </c>
      <c r="G11" s="207">
        <f>'[3]3)人员情况表'!G11+'[4]3)人员情况表'!G11+'[5]3)人员情况表'!G11</f>
        <v>35</v>
      </c>
      <c r="H11" s="207">
        <f>'[3]3)人员情况表'!H11+'[4]3)人员情况表'!H11+'[5]3)人员情况表'!H11</f>
        <v>35</v>
      </c>
      <c r="I11" s="207">
        <f>'[3]3)人员情况表'!I11+'[4]3)人员情况表'!I11+'[5]3)人员情况表'!I11</f>
        <v>35</v>
      </c>
      <c r="J11" s="209">
        <f t="shared" si="2"/>
        <v>0.9459459459459459</v>
      </c>
      <c r="K11" s="209">
        <f t="shared" si="3"/>
        <v>0.9459459459459459</v>
      </c>
      <c r="L11" s="209">
        <f t="shared" si="4"/>
        <v>0.9459459459459459</v>
      </c>
      <c r="M11" s="209">
        <f t="shared" si="5"/>
        <v>0.9459459459459459</v>
      </c>
      <c r="N11" s="157"/>
    </row>
    <row r="12" spans="1:14" ht="18" customHeight="1">
      <c r="A12" s="151" t="s">
        <v>377</v>
      </c>
      <c r="B12" s="207">
        <f>'[3]3)人员情况表'!B12+'[4]3)人员情况表'!B12+'[5]3)人员情况表'!B12</f>
        <v>1</v>
      </c>
      <c r="C12" s="207">
        <f>'[3]3)人员情况表'!C12+'[4]3)人员情况表'!C12+'[5]3)人员情况表'!C12</f>
        <v>1</v>
      </c>
      <c r="D12" s="207">
        <f>'[3]3)人员情况表'!D12+'[4]3)人员情况表'!D12+'[5]3)人员情况表'!D12</f>
        <v>1</v>
      </c>
      <c r="E12" s="207">
        <f>'[3]3)人员情况表'!E12+'[4]3)人员情况表'!E12+'[5]3)人员情况表'!E12</f>
        <v>0</v>
      </c>
      <c r="F12" s="207">
        <f>'[3]3)人员情况表'!F12+'[4]3)人员情况表'!F12+'[5]3)人员情况表'!F12</f>
        <v>1</v>
      </c>
      <c r="G12" s="207">
        <f>'[3]3)人员情况表'!G12+'[4]3)人员情况表'!G12+'[5]3)人员情况表'!G12</f>
        <v>1</v>
      </c>
      <c r="H12" s="207">
        <f>'[3]3)人员情况表'!H12+'[4]3)人员情况表'!H12+'[5]3)人员情况表'!H12</f>
        <v>1</v>
      </c>
      <c r="I12" s="207">
        <f>'[3]3)人员情况表'!I12+'[4]3)人员情况表'!I12+'[5]3)人员情况表'!I12</f>
        <v>0</v>
      </c>
      <c r="J12" s="209">
        <f t="shared" si="2"/>
        <v>1</v>
      </c>
      <c r="K12" s="209">
        <f t="shared" si="3"/>
        <v>1</v>
      </c>
      <c r="L12" s="209">
        <f t="shared" si="4"/>
        <v>1</v>
      </c>
      <c r="M12" s="209" t="e">
        <f t="shared" si="5"/>
        <v>#DIV/0!</v>
      </c>
      <c r="N12" s="157"/>
    </row>
    <row r="13" spans="1:14" ht="18" customHeight="1">
      <c r="A13" s="151" t="s">
        <v>378</v>
      </c>
      <c r="B13" s="207">
        <f>'[3]3)人员情况表'!B13+'[4]3)人员情况表'!B13+'[5]3)人员情况表'!B13</f>
        <v>0</v>
      </c>
      <c r="C13" s="207">
        <f>'[3]3)人员情况表'!C13+'[4]3)人员情况表'!C13+'[5]3)人员情况表'!C13</f>
        <v>0</v>
      </c>
      <c r="D13" s="207">
        <f>'[3]3)人员情况表'!D13+'[4]3)人员情况表'!D13+'[5]3)人员情况表'!D13</f>
        <v>0</v>
      </c>
      <c r="E13" s="207">
        <f>'[3]3)人员情况表'!E13+'[4]3)人员情况表'!E13+'[5]3)人员情况表'!E13</f>
        <v>0</v>
      </c>
      <c r="F13" s="207">
        <f>'[3]3)人员情况表'!F13+'[4]3)人员情况表'!F13+'[5]3)人员情况表'!F13</f>
        <v>0</v>
      </c>
      <c r="G13" s="207">
        <f>'[3]3)人员情况表'!G13+'[4]3)人员情况表'!G13+'[5]3)人员情况表'!G13</f>
        <v>0</v>
      </c>
      <c r="H13" s="207">
        <f>'[3]3)人员情况表'!H13+'[4]3)人员情况表'!H13+'[5]3)人员情况表'!H13</f>
        <v>0</v>
      </c>
      <c r="I13" s="207">
        <f>'[3]3)人员情况表'!I13+'[4]3)人员情况表'!I13+'[5]3)人员情况表'!I13</f>
        <v>0</v>
      </c>
      <c r="J13" s="209" t="e">
        <f t="shared" si="2"/>
        <v>#DIV/0!</v>
      </c>
      <c r="K13" s="209" t="e">
        <f t="shared" si="3"/>
        <v>#DIV/0!</v>
      </c>
      <c r="L13" s="209" t="e">
        <f t="shared" si="4"/>
        <v>#DIV/0!</v>
      </c>
      <c r="M13" s="209" t="e">
        <f t="shared" si="5"/>
        <v>#DIV/0!</v>
      </c>
      <c r="N13" s="157"/>
    </row>
    <row r="14" spans="1:14" ht="18" customHeight="1">
      <c r="A14" s="151" t="s">
        <v>379</v>
      </c>
      <c r="B14" s="207">
        <f>'[3]3)人员情况表'!B14+'[4]3)人员情况表'!B14+'[5]3)人员情况表'!B14</f>
        <v>0</v>
      </c>
      <c r="C14" s="207">
        <f>'[3]3)人员情况表'!C14+'[4]3)人员情况表'!C14+'[5]3)人员情况表'!C14</f>
        <v>0</v>
      </c>
      <c r="D14" s="207">
        <f>'[3]3)人员情况表'!D14+'[4]3)人员情况表'!D14+'[5]3)人员情况表'!D14</f>
        <v>0</v>
      </c>
      <c r="E14" s="207">
        <f>'[3]3)人员情况表'!E14+'[4]3)人员情况表'!E14+'[5]3)人员情况表'!E14</f>
        <v>0</v>
      </c>
      <c r="F14" s="207">
        <f>'[3]3)人员情况表'!F14+'[4]3)人员情况表'!F14+'[5]3)人员情况表'!F14</f>
        <v>0</v>
      </c>
      <c r="G14" s="207">
        <f>'[3]3)人员情况表'!G14+'[4]3)人员情况表'!G14+'[5]3)人员情况表'!G14</f>
        <v>0</v>
      </c>
      <c r="H14" s="207">
        <f>'[3]3)人员情况表'!H14+'[4]3)人员情况表'!H14+'[5]3)人员情况表'!H14</f>
        <v>0</v>
      </c>
      <c r="I14" s="207">
        <f>'[3]3)人员情况表'!I14+'[4]3)人员情况表'!I14+'[5]3)人员情况表'!I14</f>
        <v>0</v>
      </c>
      <c r="J14" s="209" t="e">
        <f t="shared" si="2"/>
        <v>#DIV/0!</v>
      </c>
      <c r="K14" s="209" t="e">
        <f t="shared" si="3"/>
        <v>#DIV/0!</v>
      </c>
      <c r="L14" s="209" t="e">
        <f t="shared" si="4"/>
        <v>#DIV/0!</v>
      </c>
      <c r="M14" s="209" t="e">
        <f t="shared" si="5"/>
        <v>#DIV/0!</v>
      </c>
      <c r="N14" s="157"/>
    </row>
    <row r="15" spans="1:14" ht="18" customHeight="1">
      <c r="A15" s="157"/>
      <c r="B15" s="163"/>
      <c r="C15" s="158" t="s">
        <v>340</v>
      </c>
      <c r="D15" s="157"/>
      <c r="E15" s="163"/>
      <c r="F15" s="163"/>
      <c r="G15" s="158" t="s">
        <v>380</v>
      </c>
      <c r="H15" s="157"/>
      <c r="I15" s="157"/>
      <c r="J15" s="157"/>
      <c r="K15" s="157"/>
      <c r="L15" s="157"/>
      <c r="M15" s="157"/>
      <c r="N15" s="157"/>
    </row>
  </sheetData>
  <sheetProtection password="C47F" sheet="1" objects="1" formatCells="0"/>
  <protectedRanges>
    <protectedRange password="C47F" sqref="B6:M7 J8:M14" name="区域1"/>
  </protectedRanges>
  <mergeCells count="18">
    <mergeCell ref="A1:N1"/>
    <mergeCell ref="B3:E3"/>
    <mergeCell ref="F3:I3"/>
    <mergeCell ref="J3:M3"/>
    <mergeCell ref="A3:A5"/>
    <mergeCell ref="B4:B5"/>
    <mergeCell ref="C4:C5"/>
    <mergeCell ref="D4:D5"/>
    <mergeCell ref="E4:E5"/>
    <mergeCell ref="F4:F5"/>
    <mergeCell ref="G4:G5"/>
    <mergeCell ref="H4:H5"/>
    <mergeCell ref="I4:I5"/>
    <mergeCell ref="J4:J5"/>
    <mergeCell ref="K4:K5"/>
    <mergeCell ref="L4:L5"/>
    <mergeCell ref="M4:M5"/>
    <mergeCell ref="N3:N5"/>
  </mergeCells>
  <printOptions/>
  <pageMargins left="0.75" right="0.75" top="1" bottom="1" header="0.5" footer="0.5"/>
  <pageSetup fitToHeight="1" fitToWidth="1" horizontalDpi="300" verticalDpi="300" orientation="landscape" paperSize="9" scale="64"/>
</worksheet>
</file>

<file path=xl/worksheets/sheet30.xml><?xml version="1.0" encoding="utf-8"?>
<worksheet xmlns="http://schemas.openxmlformats.org/spreadsheetml/2006/main" xmlns:r="http://schemas.openxmlformats.org/officeDocument/2006/relationships">
  <sheetPr>
    <pageSetUpPr fitToPage="1"/>
  </sheetPr>
  <dimension ref="A1:M14"/>
  <sheetViews>
    <sheetView workbookViewId="0" topLeftCell="A1">
      <selection activeCell="G18" sqref="G18"/>
    </sheetView>
  </sheetViews>
  <sheetFormatPr defaultColWidth="9.140625" defaultRowHeight="12.75"/>
  <cols>
    <col min="1" max="1" width="27.8515625" style="0" customWidth="1"/>
    <col min="2" max="2" width="17.00390625" style="0" customWidth="1"/>
    <col min="3" max="5" width="16.7109375" style="0" customWidth="1"/>
    <col min="6" max="6" width="10.28125" style="0" customWidth="1"/>
    <col min="7" max="11" width="16.7109375" style="0" customWidth="1"/>
    <col min="12" max="12" width="11.140625" style="0" customWidth="1"/>
    <col min="13" max="13" width="14.00390625" style="0" customWidth="1"/>
    <col min="15" max="15" width="12.57421875" style="0" customWidth="1"/>
    <col min="16" max="16" width="14.00390625" style="0" customWidth="1"/>
    <col min="17" max="17" width="16.28125" style="0" customWidth="1"/>
  </cols>
  <sheetData>
    <row r="1" spans="1:13" ht="27" customHeight="1">
      <c r="A1" s="23" t="s">
        <v>707</v>
      </c>
      <c r="B1" s="23"/>
      <c r="C1" s="23" t="s">
        <v>707</v>
      </c>
      <c r="D1" s="23" t="s">
        <v>707</v>
      </c>
      <c r="E1" s="23" t="s">
        <v>707</v>
      </c>
      <c r="F1" s="23"/>
      <c r="G1" s="23" t="s">
        <v>707</v>
      </c>
      <c r="H1" s="23" t="s">
        <v>707</v>
      </c>
      <c r="I1" s="23" t="s">
        <v>707</v>
      </c>
      <c r="J1" s="23" t="s">
        <v>707</v>
      </c>
      <c r="K1" s="23" t="s">
        <v>707</v>
      </c>
      <c r="L1" s="23" t="s">
        <v>707</v>
      </c>
      <c r="M1" s="23" t="s">
        <v>707</v>
      </c>
    </row>
    <row r="2" spans="1:13" ht="18" customHeight="1">
      <c r="A2" s="5" t="s">
        <v>287</v>
      </c>
      <c r="B2" s="54"/>
      <c r="C2" s="45"/>
      <c r="D2" s="46"/>
      <c r="E2" s="47"/>
      <c r="F2" s="55"/>
      <c r="G2" s="24" t="s">
        <v>288</v>
      </c>
      <c r="I2" s="5"/>
      <c r="J2" s="5"/>
      <c r="K2" s="5"/>
      <c r="L2" s="16" t="s">
        <v>708</v>
      </c>
      <c r="M2" s="5"/>
    </row>
    <row r="3" spans="1:13" ht="18" customHeight="1">
      <c r="A3" s="18" t="s">
        <v>290</v>
      </c>
      <c r="B3" s="38" t="s">
        <v>366</v>
      </c>
      <c r="C3" s="38"/>
      <c r="D3" s="38"/>
      <c r="E3" s="38"/>
      <c r="F3" s="39"/>
      <c r="G3" s="9" t="s">
        <v>292</v>
      </c>
      <c r="H3" s="9" t="s">
        <v>292</v>
      </c>
      <c r="I3" s="9" t="s">
        <v>292</v>
      </c>
      <c r="J3" s="9" t="s">
        <v>292</v>
      </c>
      <c r="K3" s="9" t="s">
        <v>292</v>
      </c>
      <c r="L3" s="9" t="s">
        <v>293</v>
      </c>
      <c r="M3" s="9" t="s">
        <v>33</v>
      </c>
    </row>
    <row r="4" spans="1:13" ht="18" customHeight="1">
      <c r="A4" s="18" t="s">
        <v>290</v>
      </c>
      <c r="B4" s="9" t="s">
        <v>294</v>
      </c>
      <c r="C4" s="9" t="s">
        <v>463</v>
      </c>
      <c r="D4" s="9" t="s">
        <v>296</v>
      </c>
      <c r="E4" s="9" t="s">
        <v>464</v>
      </c>
      <c r="F4" s="9" t="s">
        <v>299</v>
      </c>
      <c r="G4" s="9" t="s">
        <v>314</v>
      </c>
      <c r="H4" s="9" t="s">
        <v>324</v>
      </c>
      <c r="I4" s="9" t="s">
        <v>331</v>
      </c>
      <c r="J4" s="9" t="s">
        <v>334</v>
      </c>
      <c r="K4" s="9" t="s">
        <v>336</v>
      </c>
      <c r="L4" s="9" t="s">
        <v>293</v>
      </c>
      <c r="M4" s="9" t="s">
        <v>33</v>
      </c>
    </row>
    <row r="5" spans="1:13" ht="18" customHeight="1">
      <c r="A5" s="25" t="s">
        <v>709</v>
      </c>
      <c r="B5" s="11">
        <f>B6-B10</f>
        <v>999806.54</v>
      </c>
      <c r="C5" s="11">
        <f>C6-C10</f>
        <v>540688.48</v>
      </c>
      <c r="D5" s="11">
        <f>D6-D10</f>
        <v>-1184032.05</v>
      </c>
      <c r="E5" s="11">
        <f>E6-E10</f>
        <v>-643343.5700000003</v>
      </c>
      <c r="F5" s="102">
        <f>E5/B5</f>
        <v>-0.6434680553299844</v>
      </c>
      <c r="G5" s="11">
        <f>G6-G10</f>
        <v>3539473.887798165</v>
      </c>
      <c r="H5" s="11">
        <f>H6-H10</f>
        <v>-303367.25</v>
      </c>
      <c r="I5" s="11">
        <f>I6-I10</f>
        <v>181062.1077981651</v>
      </c>
      <c r="J5" s="11">
        <f>J6-J10</f>
        <v>552988.1200000001</v>
      </c>
      <c r="K5" s="11">
        <f>K6-K10</f>
        <v>3108790.9099999997</v>
      </c>
      <c r="L5" s="41">
        <f>G5/E5</f>
        <v>-5.501685340226783</v>
      </c>
      <c r="M5" s="5"/>
    </row>
    <row r="6" spans="1:13" ht="18" customHeight="1">
      <c r="A6" s="25" t="s">
        <v>710</v>
      </c>
      <c r="B6" s="11">
        <f>SUM(B7:B9)</f>
        <v>1224188.54</v>
      </c>
      <c r="C6" s="11">
        <f>SUM(C7:C9)</f>
        <v>726144.8999999999</v>
      </c>
      <c r="D6" s="11">
        <f>SUM(D7:D9)</f>
        <v>74793.99</v>
      </c>
      <c r="E6" s="11">
        <f>SUM(E7:E9)</f>
        <v>800938.8899999999</v>
      </c>
      <c r="F6" s="102">
        <f aca="true" t="shared" si="0" ref="F6:F13">E6/B6</f>
        <v>0.6542610585130946</v>
      </c>
      <c r="G6" s="11">
        <f>SUM(G7:G9)</f>
        <v>4600668.847798165</v>
      </c>
      <c r="H6" s="11">
        <f>SUM(H7:H9)</f>
        <v>74793.99</v>
      </c>
      <c r="I6" s="11">
        <f>SUM(I7:I9)</f>
        <v>405323.3477981651</v>
      </c>
      <c r="J6" s="11">
        <f>SUM(J7:J9)</f>
        <v>779749.3600000001</v>
      </c>
      <c r="K6" s="11">
        <f>SUM(K7:K9)</f>
        <v>3340802.15</v>
      </c>
      <c r="L6" s="41">
        <f aca="true" t="shared" si="1" ref="L6:L13">G6/E6</f>
        <v>5.744094718385027</v>
      </c>
      <c r="M6" s="5"/>
    </row>
    <row r="7" spans="1:13" ht="18" customHeight="1">
      <c r="A7" s="25" t="s">
        <v>711</v>
      </c>
      <c r="B7" s="11">
        <f>'[3]14)其他业务收支预算表'!B7+'[4]14)其他业务收支预算表'!B7+'[5]14)其他业务收支预算表'!B7</f>
        <v>661530</v>
      </c>
      <c r="C7" s="11">
        <f>'[3]14)其他业务收支预算表'!C7+'[4]14)其他业务收支预算表'!C7+'[5]14)其他业务收支预算表'!C7</f>
        <v>541679.21</v>
      </c>
      <c r="D7" s="11">
        <f>'[3]14)其他业务收支预算表'!D7+'[4]14)其他业务收支预算表'!D7+'[5]14)其他业务收支预算表'!D7</f>
        <v>74793.99</v>
      </c>
      <c r="E7" s="11">
        <f>C7+D7</f>
        <v>616473.2</v>
      </c>
      <c r="F7" s="102">
        <f t="shared" si="0"/>
        <v>0.931890012546672</v>
      </c>
      <c r="G7" s="11">
        <f>SUM(H7:K7)</f>
        <v>1060668.8477981654</v>
      </c>
      <c r="H7" s="11">
        <f>'[3]14)其他业务收支预算表'!H7+'[4]14)其他业务收支预算表'!H7+'[5]14)其他业务收支预算表'!H7</f>
        <v>74793.99</v>
      </c>
      <c r="I7" s="11">
        <f>'[3]14)其他业务收支预算表'!I7+'[4]14)其他业务收支预算表'!I7+'[5]14)其他业务收支预算表'!I7</f>
        <v>405323.3477981651</v>
      </c>
      <c r="J7" s="11">
        <f>'[3]14)其他业务收支预算表'!J7+'[4]14)其他业务收支预算表'!J7+'[5]14)其他业务收支预算表'!J7</f>
        <v>299749.3600000001</v>
      </c>
      <c r="K7" s="11">
        <f>'[3]14)其他业务收支预算表'!K7+'[4]14)其他业务收支预算表'!K7+'[5]14)其他业务收支预算表'!K7</f>
        <v>280802.15</v>
      </c>
      <c r="L7" s="41">
        <f t="shared" si="1"/>
        <v>1.7205433225615736</v>
      </c>
      <c r="M7" s="5"/>
    </row>
    <row r="8" spans="1:13" ht="18" customHeight="1">
      <c r="A8" s="25" t="s">
        <v>712</v>
      </c>
      <c r="B8" s="11">
        <f>'[3]14)其他业务收支预算表'!B8+'[4]14)其他业务收支预算表'!B8+'[5]14)其他业务收支预算表'!B8</f>
        <v>0</v>
      </c>
      <c r="C8" s="11">
        <f>'[3]14)其他业务收支预算表'!C8+'[4]14)其他业务收支预算表'!C8+'[5]14)其他业务收支预算表'!C8</f>
        <v>0</v>
      </c>
      <c r="D8" s="11">
        <f>'[3]14)其他业务收支预算表'!D8+'[4]14)其他业务收支预算表'!D8+'[5]14)其他业务收支预算表'!D8</f>
        <v>0</v>
      </c>
      <c r="E8" s="11">
        <f>C8+D8</f>
        <v>0</v>
      </c>
      <c r="F8" s="102" t="e">
        <f t="shared" si="0"/>
        <v>#DIV/0!</v>
      </c>
      <c r="G8" s="11">
        <f>SUM(H8:K8)</f>
        <v>3540000</v>
      </c>
      <c r="H8" s="11">
        <f>'[3]14)其他业务收支预算表'!H8+'[4]14)其他业务收支预算表'!H8+'[5]14)其他业务收支预算表'!H8</f>
        <v>0</v>
      </c>
      <c r="I8" s="11">
        <f>'[3]14)其他业务收支预算表'!I8+'[4]14)其他业务收支预算表'!I8+'[5]14)其他业务收支预算表'!I8</f>
        <v>0</v>
      </c>
      <c r="J8" s="11">
        <f>'[3]14)其他业务收支预算表'!J8+'[4]14)其他业务收支预算表'!J8+'[5]14)其他业务收支预算表'!J8</f>
        <v>480000</v>
      </c>
      <c r="K8" s="11">
        <f>'[3]14)其他业务收支预算表'!K8+'[4]14)其他业务收支预算表'!K8+'[5]14)其他业务收支预算表'!K8</f>
        <v>3060000</v>
      </c>
      <c r="L8" s="41" t="e">
        <f t="shared" si="1"/>
        <v>#DIV/0!</v>
      </c>
      <c r="M8" s="5"/>
    </row>
    <row r="9" spans="1:13" ht="18" customHeight="1">
      <c r="A9" s="25" t="s">
        <v>713</v>
      </c>
      <c r="B9" s="11">
        <f>'[3]14)其他业务收支预算表'!B9+'[4]14)其他业务收支预算表'!B9+'[5]14)其他业务收支预算表'!B9</f>
        <v>562658.54</v>
      </c>
      <c r="C9" s="11">
        <f>'[3]14)其他业务收支预算表'!C9+'[4]14)其他业务收支预算表'!C9+'[5]14)其他业务收支预算表'!C9</f>
        <v>184465.69</v>
      </c>
      <c r="D9" s="11">
        <f>'[3]14)其他业务收支预算表'!D9+'[4]14)其他业务收支预算表'!D9+'[5]14)其他业务收支预算表'!D9</f>
        <v>0</v>
      </c>
      <c r="E9" s="11">
        <f>C9+D9</f>
        <v>184465.69</v>
      </c>
      <c r="F9" s="102">
        <f t="shared" si="0"/>
        <v>0.32784660124415776</v>
      </c>
      <c r="G9" s="11">
        <f>SUM(H9:K9)</f>
        <v>0</v>
      </c>
      <c r="H9" s="11">
        <f>'[3]14)其他业务收支预算表'!H9+'[4]14)其他业务收支预算表'!H9+'[5]14)其他业务收支预算表'!H9</f>
        <v>0</v>
      </c>
      <c r="I9" s="11">
        <f>'[3]14)其他业务收支预算表'!I9+'[4]14)其他业务收支预算表'!I9+'[5]14)其他业务收支预算表'!I9</f>
        <v>0</v>
      </c>
      <c r="J9" s="11">
        <f>'[3]14)其他业务收支预算表'!J9+'[4]14)其他业务收支预算表'!J9+'[5]14)其他业务收支预算表'!J9</f>
        <v>0</v>
      </c>
      <c r="K9" s="11">
        <f>'[3]14)其他业务收支预算表'!K9+'[4]14)其他业务收支预算表'!K9+'[5]14)其他业务收支预算表'!K9</f>
        <v>0</v>
      </c>
      <c r="L9" s="104">
        <f t="shared" si="1"/>
        <v>0</v>
      </c>
      <c r="M9" s="5"/>
    </row>
    <row r="10" spans="1:13" ht="18" customHeight="1">
      <c r="A10" s="25" t="s">
        <v>714</v>
      </c>
      <c r="B10" s="11">
        <f>SUM(B11:B13)</f>
        <v>224382.00000000003</v>
      </c>
      <c r="C10" s="11">
        <f>SUM(C11:C13)</f>
        <v>185456.41999999998</v>
      </c>
      <c r="D10" s="11">
        <f>SUM(D11:D13)</f>
        <v>1258826.04</v>
      </c>
      <c r="E10" s="11">
        <f>SUM(E11:E13)</f>
        <v>1444282.4600000002</v>
      </c>
      <c r="F10" s="102">
        <f t="shared" si="0"/>
        <v>6.436712659660757</v>
      </c>
      <c r="G10" s="11">
        <f>SUM(G11:G13)</f>
        <v>1061194.96</v>
      </c>
      <c r="H10" s="103">
        <f>SUM(H11:H13)</f>
        <v>378161.24</v>
      </c>
      <c r="I10" s="103">
        <f>SUM(I11:I13)</f>
        <v>224261.24000000002</v>
      </c>
      <c r="J10" s="103">
        <f>SUM(J11:J13)</f>
        <v>226761.24000000002</v>
      </c>
      <c r="K10" s="103">
        <f>SUM(K11:K13)</f>
        <v>232011.24000000002</v>
      </c>
      <c r="L10" s="41">
        <f t="shared" si="1"/>
        <v>0.7347558316258994</v>
      </c>
      <c r="M10" s="5"/>
    </row>
    <row r="11" spans="1:13" ht="18" customHeight="1">
      <c r="A11" s="25" t="s">
        <v>715</v>
      </c>
      <c r="B11" s="11">
        <f>'[3]14)其他业务收支预算表'!B11+'[4]14)其他业务收支预算表'!B11+'[5]14)其他业务收支预算表'!B11</f>
        <v>224382.00000000003</v>
      </c>
      <c r="C11" s="11">
        <f>'[3]14)其他业务收支预算表'!C11+'[4]14)其他业务收支预算表'!C11+'[5]14)其他业务收支预算表'!C11</f>
        <v>176478.12</v>
      </c>
      <c r="D11" s="11">
        <f>'[3]14)其他业务收支预算表'!D11+'[4]14)其他业务收支预算表'!D11+'[5]14)其他业务收支预算表'!D11</f>
        <v>1258826.04</v>
      </c>
      <c r="E11" s="11">
        <f>C11+D11</f>
        <v>1435304.1600000001</v>
      </c>
      <c r="F11" s="102">
        <f t="shared" si="0"/>
        <v>6.396699200470626</v>
      </c>
      <c r="G11" s="11">
        <f>SUM(H11:K11)</f>
        <v>235304.16</v>
      </c>
      <c r="H11" s="11">
        <f>'[3]14)其他业务收支预算表'!H11+'[4]14)其他业务收支预算表'!H11+'[5]14)其他业务收支预算表'!H11</f>
        <v>58826.04</v>
      </c>
      <c r="I11" s="11">
        <f>'[3]14)其他业务收支预算表'!I11+'[4]14)其他业务收支预算表'!I11+'[5]14)其他业务收支预算表'!I11</f>
        <v>58826.04</v>
      </c>
      <c r="J11" s="11">
        <f>'[3]14)其他业务收支预算表'!J11+'[4]14)其他业务收支预算表'!J11+'[5]14)其他业务收支预算表'!J11</f>
        <v>58826.04</v>
      </c>
      <c r="K11" s="11">
        <f>'[3]14)其他业务收支预算表'!K11+'[4]14)其他业务收支预算表'!K11+'[5]14)其他业务收支预算表'!K11</f>
        <v>58826.04</v>
      </c>
      <c r="L11" s="41">
        <f t="shared" si="1"/>
        <v>0.16394027590639743</v>
      </c>
      <c r="M11" s="5"/>
    </row>
    <row r="12" spans="1:13" ht="18" customHeight="1">
      <c r="A12" s="25" t="s">
        <v>716</v>
      </c>
      <c r="B12" s="11"/>
      <c r="C12" s="11">
        <f>'[3]14)其他业务收支预算表'!C12+'[4]14)其他业务收支预算表'!C12+'[5]14)其他业务收支预算表'!C12</f>
        <v>8978.3</v>
      </c>
      <c r="D12" s="11">
        <f>'[3]14)其他业务收支预算表'!D12+'[4]14)其他业务收支预算表'!D12+'[5]14)其他业务收支预算表'!D12</f>
        <v>0</v>
      </c>
      <c r="E12" s="11">
        <f>C12+D12</f>
        <v>8978.3</v>
      </c>
      <c r="F12" s="102" t="e">
        <f t="shared" si="0"/>
        <v>#DIV/0!</v>
      </c>
      <c r="G12" s="11">
        <f>SUM(H12:K12)</f>
        <v>825890.8</v>
      </c>
      <c r="H12" s="11">
        <f>'[3]14)其他业务收支预算表'!H12+'[4]14)其他业务收支预算表'!H12+'[5]14)其他业务收支预算表'!H12</f>
        <v>319335.2</v>
      </c>
      <c r="I12" s="11">
        <f>'[3]14)其他业务收支预算表'!I12+'[4]14)其他业务收支预算表'!I12+'[5]14)其他业务收支预算表'!I12</f>
        <v>165435.2</v>
      </c>
      <c r="J12" s="11">
        <f>'[3]14)其他业务收支预算表'!J12+'[4]14)其他业务收支预算表'!J12+'[5]14)其他业务收支预算表'!J12</f>
        <v>167935.2</v>
      </c>
      <c r="K12" s="11">
        <f>'[3]14)其他业务收支预算表'!K12+'[4]14)其他业务收支预算表'!K12+'[5]14)其他业务收支预算表'!K12</f>
        <v>173185.2</v>
      </c>
      <c r="L12" s="41">
        <f t="shared" si="1"/>
        <v>91.98743637436932</v>
      </c>
      <c r="M12" s="5"/>
    </row>
    <row r="13" spans="1:13" ht="18" customHeight="1">
      <c r="A13" s="25"/>
      <c r="B13" s="11"/>
      <c r="C13" s="11"/>
      <c r="D13" s="21"/>
      <c r="E13" s="11">
        <f>C13+D13</f>
        <v>0</v>
      </c>
      <c r="F13" s="102" t="e">
        <f t="shared" si="0"/>
        <v>#DIV/0!</v>
      </c>
      <c r="G13" s="11">
        <f>SUM(H13:K13)</f>
        <v>0</v>
      </c>
      <c r="H13" s="11">
        <f>'[3]14)其他业务收支预算表'!H13+'[4]14)其他业务收支预算表'!H13+'[5]14)其他业务收支预算表'!H13</f>
        <v>0</v>
      </c>
      <c r="I13" s="11">
        <f>'[3]14)其他业务收支预算表'!I13+'[4]14)其他业务收支预算表'!I13+'[5]14)其他业务收支预算表'!I13</f>
        <v>0</v>
      </c>
      <c r="J13" s="11">
        <f>'[3]14)其他业务收支预算表'!J13+'[4]14)其他业务收支预算表'!J13+'[5]14)其他业务收支预算表'!J13</f>
        <v>0</v>
      </c>
      <c r="K13" s="11">
        <f>'[3]14)其他业务收支预算表'!K13+'[4]14)其他业务收支预算表'!K13+'[5]14)其他业务收支预算表'!K13</f>
        <v>0</v>
      </c>
      <c r="L13" s="41" t="e">
        <f t="shared" si="1"/>
        <v>#DIV/0!</v>
      </c>
      <c r="M13" s="5"/>
    </row>
    <row r="14" spans="1:13" ht="18" customHeight="1">
      <c r="A14" s="5"/>
      <c r="B14" s="5"/>
      <c r="C14" s="16"/>
      <c r="D14" s="4" t="s">
        <v>340</v>
      </c>
      <c r="E14" s="5"/>
      <c r="F14" s="5"/>
      <c r="G14" s="5"/>
      <c r="H14" s="16"/>
      <c r="I14" s="17" t="s">
        <v>380</v>
      </c>
      <c r="J14" s="5"/>
      <c r="K14" s="5"/>
      <c r="L14" s="5"/>
      <c r="M14" s="5"/>
    </row>
  </sheetData>
  <sheetProtection/>
  <mergeCells count="6">
    <mergeCell ref="A1:M1"/>
    <mergeCell ref="B3:F3"/>
    <mergeCell ref="G3:K3"/>
    <mergeCell ref="A3:A4"/>
    <mergeCell ref="L3:L4"/>
    <mergeCell ref="M3:M4"/>
  </mergeCells>
  <printOptions/>
  <pageMargins left="0.75" right="0.27" top="0.98" bottom="0.98" header="0.51" footer="0.51"/>
  <pageSetup fitToHeight="1" fitToWidth="1" horizontalDpi="300" verticalDpi="300" orientation="landscape" paperSize="9" scale="74"/>
</worksheet>
</file>

<file path=xl/worksheets/sheet31.xml><?xml version="1.0" encoding="utf-8"?>
<worksheet xmlns="http://schemas.openxmlformats.org/spreadsheetml/2006/main" xmlns:r="http://schemas.openxmlformats.org/officeDocument/2006/relationships">
  <sheetPr>
    <pageSetUpPr fitToPage="1"/>
  </sheetPr>
  <dimension ref="A1:O31"/>
  <sheetViews>
    <sheetView workbookViewId="0" topLeftCell="A1">
      <selection activeCell="N16" sqref="N16"/>
    </sheetView>
  </sheetViews>
  <sheetFormatPr defaultColWidth="9.140625" defaultRowHeight="12.75"/>
  <cols>
    <col min="1" max="1" width="28.28125" style="96" customWidth="1"/>
    <col min="2" max="2" width="14.8515625" style="96" customWidth="1"/>
    <col min="3" max="5" width="16.00390625" style="96" customWidth="1"/>
    <col min="6" max="6" width="11.140625" style="96" customWidth="1"/>
    <col min="7" max="7" width="15.00390625" style="96" customWidth="1"/>
    <col min="8" max="11" width="16.7109375" style="96" customWidth="1"/>
    <col min="12" max="12" width="12.140625" style="96" customWidth="1"/>
    <col min="13" max="13" width="14.00390625" style="96" customWidth="1"/>
    <col min="14" max="14" width="9.140625" style="96" customWidth="1"/>
    <col min="15" max="15" width="11.57421875" style="96" bestFit="1" customWidth="1"/>
    <col min="16" max="16384" width="9.140625" style="96" customWidth="1"/>
  </cols>
  <sheetData>
    <row r="1" spans="1:13" ht="21.75" customHeight="1">
      <c r="A1" s="97" t="s">
        <v>717</v>
      </c>
      <c r="B1" s="97"/>
      <c r="C1" s="97"/>
      <c r="D1" s="97"/>
      <c r="E1" s="97"/>
      <c r="F1" s="97"/>
      <c r="G1" s="97" t="s">
        <v>717</v>
      </c>
      <c r="H1" s="97" t="s">
        <v>717</v>
      </c>
      <c r="I1" s="97" t="s">
        <v>717</v>
      </c>
      <c r="J1" s="97" t="s">
        <v>717</v>
      </c>
      <c r="K1" s="97" t="s">
        <v>717</v>
      </c>
      <c r="L1" s="97" t="s">
        <v>717</v>
      </c>
      <c r="M1" s="97" t="s">
        <v>717</v>
      </c>
    </row>
    <row r="2" spans="1:13" ht="18" customHeight="1">
      <c r="A2" s="3" t="s">
        <v>287</v>
      </c>
      <c r="B2" s="98"/>
      <c r="C2" s="45"/>
      <c r="D2" s="46"/>
      <c r="E2" s="47"/>
      <c r="F2" s="55"/>
      <c r="G2" s="24" t="s">
        <v>288</v>
      </c>
      <c r="H2" s="3"/>
      <c r="I2" s="3"/>
      <c r="J2" s="3"/>
      <c r="K2" s="3"/>
      <c r="L2" s="100" t="s">
        <v>718</v>
      </c>
      <c r="M2" s="3"/>
    </row>
    <row r="3" spans="1:13" ht="18" customHeight="1">
      <c r="A3" s="99" t="s">
        <v>290</v>
      </c>
      <c r="B3" s="38" t="s">
        <v>366</v>
      </c>
      <c r="C3" s="38"/>
      <c r="D3" s="38"/>
      <c r="E3" s="38"/>
      <c r="F3" s="39"/>
      <c r="G3" s="9" t="s">
        <v>292</v>
      </c>
      <c r="H3" s="9" t="s">
        <v>292</v>
      </c>
      <c r="I3" s="9" t="s">
        <v>292</v>
      </c>
      <c r="J3" s="9" t="s">
        <v>292</v>
      </c>
      <c r="K3" s="9" t="s">
        <v>292</v>
      </c>
      <c r="L3" s="9" t="s">
        <v>293</v>
      </c>
      <c r="M3" s="9" t="s">
        <v>33</v>
      </c>
    </row>
    <row r="4" spans="1:13" ht="18" customHeight="1">
      <c r="A4" s="99" t="s">
        <v>290</v>
      </c>
      <c r="B4" s="9" t="s">
        <v>294</v>
      </c>
      <c r="C4" s="9" t="s">
        <v>463</v>
      </c>
      <c r="D4" s="9" t="s">
        <v>296</v>
      </c>
      <c r="E4" s="9" t="s">
        <v>464</v>
      </c>
      <c r="F4" s="9" t="s">
        <v>299</v>
      </c>
      <c r="G4" s="9" t="s">
        <v>314</v>
      </c>
      <c r="H4" s="9" t="s">
        <v>324</v>
      </c>
      <c r="I4" s="9" t="s">
        <v>331</v>
      </c>
      <c r="J4" s="9" t="s">
        <v>334</v>
      </c>
      <c r="K4" s="9" t="s">
        <v>336</v>
      </c>
      <c r="L4" s="9" t="s">
        <v>293</v>
      </c>
      <c r="M4" s="9" t="s">
        <v>33</v>
      </c>
    </row>
    <row r="5" spans="1:13" ht="18" customHeight="1">
      <c r="A5" s="3" t="s">
        <v>719</v>
      </c>
      <c r="B5" s="11">
        <f>SUM(B6:B15)</f>
        <v>224382</v>
      </c>
      <c r="C5" s="11">
        <f>SUM(C6:C15)</f>
        <v>418076.87999999995</v>
      </c>
      <c r="D5" s="11">
        <f>SUM(D6:D15)</f>
        <v>66026.04000000001</v>
      </c>
      <c r="E5" s="11">
        <f>SUM(E6:E15)</f>
        <v>484102.9199999999</v>
      </c>
      <c r="F5" s="40">
        <f>E5/B5</f>
        <v>2.157494451426585</v>
      </c>
      <c r="G5" s="26">
        <f>SUM(G6:G15)</f>
        <v>5600</v>
      </c>
      <c r="H5" s="11">
        <f>SUM(H6:H15)</f>
        <v>0</v>
      </c>
      <c r="I5" s="11">
        <f>SUM(I6:I15)</f>
        <v>5600</v>
      </c>
      <c r="J5" s="11">
        <f>SUM(J6:J15)</f>
        <v>0</v>
      </c>
      <c r="K5" s="11">
        <f>SUM(K6:K15)</f>
        <v>0</v>
      </c>
      <c r="L5" s="41">
        <f>G5/E5</f>
        <v>0.011567788105884593</v>
      </c>
      <c r="M5" s="3"/>
    </row>
    <row r="6" spans="1:13" ht="18" customHeight="1">
      <c r="A6" s="3" t="s">
        <v>720</v>
      </c>
      <c r="B6" s="11">
        <f>'[3]15)营业外收支预算表'!B6+'[4]15)营业外收支预算表'!B6+'[5]15)营业外收支预算表'!B6</f>
        <v>0</v>
      </c>
      <c r="C6" s="11">
        <f>'[3]15)营业外收支预算表'!C6+'[4]15)营业外收支预算表'!C6+'[5]15)营业外收支预算表'!C6</f>
        <v>0</v>
      </c>
      <c r="D6" s="11">
        <f>'[3]15)营业外收支预算表'!D6+'[4]15)营业外收支预算表'!D6+'[5]15)营业外收支预算表'!D6</f>
        <v>0</v>
      </c>
      <c r="E6" s="11">
        <f>C6+D6</f>
        <v>0</v>
      </c>
      <c r="F6" s="40" t="e">
        <f aca="true" t="shared" si="0" ref="F6:F30">E6/B6</f>
        <v>#DIV/0!</v>
      </c>
      <c r="G6" s="26">
        <f>SUM(H6:K6)</f>
        <v>0</v>
      </c>
      <c r="H6" s="11">
        <f>'[3]15)营业外收支预算表'!H6+'[4]15)营业外收支预算表'!H6+'[5]15)营业外收支预算表'!H6</f>
        <v>0</v>
      </c>
      <c r="I6" s="11">
        <f>'[3]15)营业外收支预算表'!I6+'[4]15)营业外收支预算表'!I6+'[5]15)营业外收支预算表'!I6</f>
        <v>0</v>
      </c>
      <c r="J6" s="11">
        <f>'[3]15)营业外收支预算表'!J6+'[4]15)营业外收支预算表'!J6+'[5]15)营业外收支预算表'!J6</f>
        <v>0</v>
      </c>
      <c r="K6" s="11">
        <f>'[3]15)营业外收支预算表'!K6+'[4]15)营业外收支预算表'!K6+'[5]15)营业外收支预算表'!K6</f>
        <v>0</v>
      </c>
      <c r="L6" s="41" t="e">
        <f aca="true" t="shared" si="1" ref="L6:L30">G6/E6</f>
        <v>#DIV/0!</v>
      </c>
      <c r="M6" s="3"/>
    </row>
    <row r="7" spans="1:13" ht="18" customHeight="1">
      <c r="A7" s="3" t="s">
        <v>721</v>
      </c>
      <c r="B7" s="11">
        <f>'[3]15)营业外收支预算表'!B7+'[4]15)营业外收支预算表'!B7+'[5]15)营业外收支预算表'!B7</f>
        <v>0</v>
      </c>
      <c r="C7" s="11">
        <f>'[3]15)营业外收支预算表'!C7+'[4]15)营业外收支预算表'!C7+'[5]15)营业外收支预算表'!C7</f>
        <v>0</v>
      </c>
      <c r="D7" s="11">
        <f>'[3]15)营业外收支预算表'!D7+'[4]15)营业外收支预算表'!D7+'[5]15)营业外收支预算表'!D7</f>
        <v>0</v>
      </c>
      <c r="E7" s="11">
        <f aca="true" t="shared" si="2" ref="E7:E30">C7+D7</f>
        <v>0</v>
      </c>
      <c r="F7" s="40" t="e">
        <f t="shared" si="0"/>
        <v>#DIV/0!</v>
      </c>
      <c r="G7" s="26">
        <f aca="true" t="shared" si="3" ref="G7:G30">SUM(H7:K7)</f>
        <v>5600</v>
      </c>
      <c r="H7" s="11">
        <f>'[3]15)营业外收支预算表'!H7+'[4]15)营业外收支预算表'!H7+'[5]15)营业外收支预算表'!H7</f>
        <v>0</v>
      </c>
      <c r="I7" s="11">
        <f>'[3]15)营业外收支预算表'!I7+'[4]15)营业外收支预算表'!I7+'[5]15)营业外收支预算表'!I7</f>
        <v>5600</v>
      </c>
      <c r="J7" s="11">
        <f>'[3]15)营业外收支预算表'!J7+'[4]15)营业外收支预算表'!J7+'[5]15)营业外收支预算表'!J7</f>
        <v>0</v>
      </c>
      <c r="K7" s="11">
        <f>'[3]15)营业外收支预算表'!K7+'[4]15)营业外收支预算表'!K7+'[5]15)营业外收支预算表'!K7</f>
        <v>0</v>
      </c>
      <c r="L7" s="41" t="e">
        <f t="shared" si="1"/>
        <v>#DIV/0!</v>
      </c>
      <c r="M7" s="3"/>
    </row>
    <row r="8" spans="1:13" ht="18" customHeight="1">
      <c r="A8" s="3" t="s">
        <v>722</v>
      </c>
      <c r="B8" s="11">
        <f>'[3]15)营业外收支预算表'!B8+'[4]15)营业外收支预算表'!B8+'[5]15)营业外收支预算表'!B8</f>
        <v>0</v>
      </c>
      <c r="C8" s="11">
        <f>'[3]15)营业外收支预算表'!C8+'[4]15)营业外收支预算表'!C8+'[5]15)营业外收支预算表'!C8</f>
        <v>0</v>
      </c>
      <c r="D8" s="11">
        <f>'[3]15)营业外收支预算表'!D8+'[4]15)营业外收支预算表'!D8+'[5]15)营业外收支预算表'!D8</f>
        <v>0</v>
      </c>
      <c r="E8" s="11">
        <f t="shared" si="2"/>
        <v>0</v>
      </c>
      <c r="F8" s="40" t="e">
        <f t="shared" si="0"/>
        <v>#DIV/0!</v>
      </c>
      <c r="G8" s="26">
        <f t="shared" si="3"/>
        <v>0</v>
      </c>
      <c r="H8" s="11">
        <f>'[3]15)营业外收支预算表'!H8+'[4]15)营业外收支预算表'!H8+'[5]15)营业外收支预算表'!H8</f>
        <v>0</v>
      </c>
      <c r="I8" s="11">
        <f>'[3]15)营业外收支预算表'!I8+'[4]15)营业外收支预算表'!I8+'[5]15)营业外收支预算表'!I8</f>
        <v>0</v>
      </c>
      <c r="J8" s="11">
        <f>'[3]15)营业外收支预算表'!J8+'[4]15)营业外收支预算表'!J8+'[5]15)营业外收支预算表'!J8</f>
        <v>0</v>
      </c>
      <c r="K8" s="11">
        <f>'[3]15)营业外收支预算表'!K8+'[4]15)营业外收支预算表'!K8+'[5]15)营业外收支预算表'!K8</f>
        <v>0</v>
      </c>
      <c r="L8" s="41" t="e">
        <f t="shared" si="1"/>
        <v>#DIV/0!</v>
      </c>
      <c r="M8" s="3"/>
    </row>
    <row r="9" spans="1:13" ht="18" customHeight="1">
      <c r="A9" s="3" t="s">
        <v>723</v>
      </c>
      <c r="B9" s="11">
        <f>'[3]15)营业外收支预算表'!B9+'[4]15)营业外收支预算表'!B9+'[5]15)营业外收支预算表'!B9</f>
        <v>0</v>
      </c>
      <c r="C9" s="11">
        <f>'[3]15)营业外收支预算表'!C9+'[4]15)营业外收支预算表'!C9+'[5]15)营业外收支预算表'!C9</f>
        <v>0</v>
      </c>
      <c r="D9" s="11">
        <f>'[3]15)营业外收支预算表'!D9+'[4]15)营业外收支预算表'!D9+'[5]15)营业外收支预算表'!D9</f>
        <v>0</v>
      </c>
      <c r="E9" s="11">
        <f t="shared" si="2"/>
        <v>0</v>
      </c>
      <c r="F9" s="40" t="e">
        <f t="shared" si="0"/>
        <v>#DIV/0!</v>
      </c>
      <c r="G9" s="26">
        <f t="shared" si="3"/>
        <v>0</v>
      </c>
      <c r="H9" s="11">
        <f>'[3]15)营业外收支预算表'!H9+'[4]15)营业外收支预算表'!H9+'[5]15)营业外收支预算表'!H9</f>
        <v>0</v>
      </c>
      <c r="I9" s="11">
        <f>'[3]15)营业外收支预算表'!I9+'[4]15)营业外收支预算表'!I9+'[5]15)营业外收支预算表'!I9</f>
        <v>0</v>
      </c>
      <c r="J9" s="11">
        <f>'[3]15)营业外收支预算表'!J9+'[4]15)营业外收支预算表'!J9+'[5]15)营业外收支预算表'!J9</f>
        <v>0</v>
      </c>
      <c r="K9" s="11">
        <f>'[3]15)营业外收支预算表'!K9+'[4]15)营业外收支预算表'!K9+'[5]15)营业外收支预算表'!K9</f>
        <v>0</v>
      </c>
      <c r="L9" s="41" t="e">
        <f t="shared" si="1"/>
        <v>#DIV/0!</v>
      </c>
      <c r="M9" s="3"/>
    </row>
    <row r="10" spans="1:13" ht="18" customHeight="1">
      <c r="A10" s="3" t="s">
        <v>724</v>
      </c>
      <c r="B10" s="11">
        <f>'[3]15)营业外收支预算表'!B10+'[4]15)营业外收支预算表'!B10+'[5]15)营业外收支预算表'!B10</f>
        <v>0</v>
      </c>
      <c r="C10" s="11">
        <f>'[3]15)营业外收支预算表'!C10+'[4]15)营业外收支预算表'!C10+'[5]15)营业外收支预算表'!C10</f>
        <v>0</v>
      </c>
      <c r="D10" s="11">
        <f>'[3]15)营业外收支预算表'!D10+'[4]15)营业外收支预算表'!D10+'[5]15)营业外收支预算表'!D10</f>
        <v>0</v>
      </c>
      <c r="E10" s="11">
        <f t="shared" si="2"/>
        <v>0</v>
      </c>
      <c r="F10" s="40" t="e">
        <f t="shared" si="0"/>
        <v>#DIV/0!</v>
      </c>
      <c r="G10" s="26">
        <f t="shared" si="3"/>
        <v>0</v>
      </c>
      <c r="H10" s="11">
        <f>'[3]15)营业外收支预算表'!H10+'[4]15)营业外收支预算表'!H10+'[5]15)营业外收支预算表'!H10</f>
        <v>0</v>
      </c>
      <c r="I10" s="11">
        <f>'[3]15)营业外收支预算表'!I10+'[4]15)营业外收支预算表'!I10+'[5]15)营业外收支预算表'!I10</f>
        <v>0</v>
      </c>
      <c r="J10" s="11">
        <f>'[3]15)营业外收支预算表'!J10+'[4]15)营业外收支预算表'!J10+'[5]15)营业外收支预算表'!J10</f>
        <v>0</v>
      </c>
      <c r="K10" s="11">
        <f>'[3]15)营业外收支预算表'!K10+'[4]15)营业外收支预算表'!K10+'[5]15)营业外收支预算表'!K10</f>
        <v>0</v>
      </c>
      <c r="L10" s="41" t="e">
        <f t="shared" si="1"/>
        <v>#DIV/0!</v>
      </c>
      <c r="M10" s="3"/>
    </row>
    <row r="11" spans="1:13" ht="18" customHeight="1">
      <c r="A11" s="3" t="s">
        <v>725</v>
      </c>
      <c r="B11" s="11">
        <f>'[3]15)营业外收支预算表'!B11+'[4]15)营业外收支预算表'!B11+'[5]15)营业外收支预算表'!B11</f>
        <v>224382</v>
      </c>
      <c r="C11" s="11">
        <f>'[3]15)营业外收支预算表'!C11+'[4]15)营业外收支预算表'!C11+'[5]15)营业外收支预算表'!C11</f>
        <v>280137.47</v>
      </c>
      <c r="D11" s="11">
        <f>'[3]15)营业外收支预算表'!D11+'[4]15)营业外收支预算表'!D11+'[5]15)营业外收支预算表'!D11</f>
        <v>62426.04</v>
      </c>
      <c r="E11" s="11">
        <f t="shared" si="2"/>
        <v>342563.50999999995</v>
      </c>
      <c r="F11" s="40">
        <f t="shared" si="0"/>
        <v>1.5266978188981288</v>
      </c>
      <c r="G11" s="26">
        <f t="shared" si="3"/>
        <v>0</v>
      </c>
      <c r="H11" s="11"/>
      <c r="I11" s="11"/>
      <c r="J11" s="11"/>
      <c r="K11" s="11"/>
      <c r="L11" s="41">
        <f t="shared" si="1"/>
        <v>0</v>
      </c>
      <c r="M11" s="3"/>
    </row>
    <row r="12" spans="1:13" ht="18" customHeight="1">
      <c r="A12" s="3" t="s">
        <v>726</v>
      </c>
      <c r="B12" s="11">
        <f>'[3]15)营业外收支预算表'!B12+'[4]15)营业外收支预算表'!B12+'[5]15)营业外收支预算表'!B12</f>
        <v>0</v>
      </c>
      <c r="C12" s="11">
        <f>'[3]15)营业外收支预算表'!C12+'[4]15)营业外收支预算表'!C12+'[5]15)营业外收支预算表'!C12</f>
        <v>0</v>
      </c>
      <c r="D12" s="11">
        <f>'[3]15)营业外收支预算表'!D12+'[4]15)营业外收支预算表'!D12+'[5]15)营业外收支预算表'!D12</f>
        <v>0</v>
      </c>
      <c r="E12" s="11">
        <f t="shared" si="2"/>
        <v>0</v>
      </c>
      <c r="F12" s="40" t="e">
        <f t="shared" si="0"/>
        <v>#DIV/0!</v>
      </c>
      <c r="G12" s="26">
        <f t="shared" si="3"/>
        <v>0</v>
      </c>
      <c r="H12" s="11">
        <f>'[3]15)营业外收支预算表'!H12+'[4]15)营业外收支预算表'!H12+'[5]15)营业外收支预算表'!H12</f>
        <v>0</v>
      </c>
      <c r="I12" s="11">
        <f>'[3]15)营业外收支预算表'!I12+'[4]15)营业外收支预算表'!I12+'[5]15)营业外收支预算表'!I12</f>
        <v>0</v>
      </c>
      <c r="J12" s="11">
        <f>'[3]15)营业外收支预算表'!J12+'[4]15)营业外收支预算表'!J12+'[5]15)营业外收支预算表'!J12</f>
        <v>0</v>
      </c>
      <c r="K12" s="11">
        <f>'[3]15)营业外收支预算表'!K12+'[4]15)营业外收支预算表'!K12+'[5]15)营业外收支预算表'!K12</f>
        <v>0</v>
      </c>
      <c r="L12" s="41" t="e">
        <f t="shared" si="1"/>
        <v>#DIV/0!</v>
      </c>
      <c r="M12" s="3"/>
    </row>
    <row r="13" spans="1:13" ht="18" customHeight="1">
      <c r="A13" s="3" t="s">
        <v>727</v>
      </c>
      <c r="B13" s="11">
        <f>'[3]15)营业外收支预算表'!B13+'[4]15)营业外收支预算表'!B13+'[5]15)营业外收支预算表'!B13</f>
        <v>0</v>
      </c>
      <c r="C13" s="11">
        <f>'[3]15)营业外收支预算表'!C13+'[4]15)营业外收支预算表'!C13+'[5]15)营业外收支预算表'!C13</f>
        <v>0</v>
      </c>
      <c r="D13" s="11">
        <f>'[3]15)营业外收支预算表'!D13+'[4]15)营业外收支预算表'!D13+'[5]15)营业外收支预算表'!D13</f>
        <v>0</v>
      </c>
      <c r="E13" s="11">
        <f t="shared" si="2"/>
        <v>0</v>
      </c>
      <c r="F13" s="40" t="e">
        <f t="shared" si="0"/>
        <v>#DIV/0!</v>
      </c>
      <c r="G13" s="26">
        <f t="shared" si="3"/>
        <v>0</v>
      </c>
      <c r="H13" s="11">
        <f>'[3]15)营业外收支预算表'!H13+'[4]15)营业外收支预算表'!H13+'[5]15)营业外收支预算表'!H13</f>
        <v>0</v>
      </c>
      <c r="I13" s="11">
        <f>'[3]15)营业外收支预算表'!I13+'[4]15)营业外收支预算表'!I13+'[5]15)营业外收支预算表'!I13</f>
        <v>0</v>
      </c>
      <c r="J13" s="11">
        <f>'[3]15)营业外收支预算表'!J13+'[4]15)营业外收支预算表'!J13+'[5]15)营业外收支预算表'!J13</f>
        <v>0</v>
      </c>
      <c r="K13" s="11">
        <f>'[3]15)营业外收支预算表'!K13+'[4]15)营业外收支预算表'!K13+'[5]15)营业外收支预算表'!K13</f>
        <v>0</v>
      </c>
      <c r="L13" s="41" t="e">
        <f t="shared" si="1"/>
        <v>#DIV/0!</v>
      </c>
      <c r="M13" s="3"/>
    </row>
    <row r="14" spans="1:13" ht="18" customHeight="1">
      <c r="A14" s="3" t="s">
        <v>728</v>
      </c>
      <c r="B14" s="11">
        <f>'[3]15)营业外收支预算表'!B14+'[4]15)营业外收支预算表'!B14+'[5]15)营业外收支预算表'!B14</f>
        <v>0</v>
      </c>
      <c r="C14" s="11">
        <f>'[3]15)营业外收支预算表'!C14+'[4]15)营业外收支预算表'!C14+'[5]15)营业外收支预算表'!C14</f>
        <v>0</v>
      </c>
      <c r="D14" s="11">
        <f>'[3]15)营业外收支预算表'!D14+'[4]15)营业外收支预算表'!D14+'[5]15)营业外收支预算表'!D14</f>
        <v>0</v>
      </c>
      <c r="E14" s="11">
        <f t="shared" si="2"/>
        <v>0</v>
      </c>
      <c r="F14" s="40" t="e">
        <f t="shared" si="0"/>
        <v>#DIV/0!</v>
      </c>
      <c r="G14" s="26">
        <f t="shared" si="3"/>
        <v>0</v>
      </c>
      <c r="H14" s="11">
        <f>'[3]15)营业外收支预算表'!H14+'[4]15)营业外收支预算表'!H14+'[5]15)营业外收支预算表'!H14</f>
        <v>0</v>
      </c>
      <c r="I14" s="11">
        <f>'[3]15)营业外收支预算表'!I14+'[4]15)营业外收支预算表'!I14+'[5]15)营业外收支预算表'!I14</f>
        <v>0</v>
      </c>
      <c r="J14" s="11">
        <f>'[3]15)营业外收支预算表'!J14+'[4]15)营业外收支预算表'!J14+'[5]15)营业外收支预算表'!J14</f>
        <v>0</v>
      </c>
      <c r="K14" s="11">
        <f>'[3]15)营业外收支预算表'!K14+'[4]15)营业外收支预算表'!K14+'[5]15)营业外收支预算表'!K14</f>
        <v>0</v>
      </c>
      <c r="L14" s="41" t="e">
        <f t="shared" si="1"/>
        <v>#DIV/0!</v>
      </c>
      <c r="M14" s="3"/>
    </row>
    <row r="15" spans="1:13" ht="18" customHeight="1">
      <c r="A15" s="3" t="s">
        <v>729</v>
      </c>
      <c r="B15" s="11">
        <f>'[3]15)营业外收支预算表'!B15+'[4]15)营业外收支预算表'!B15+'[5]15)营业外收支预算表'!B15</f>
        <v>0</v>
      </c>
      <c r="C15" s="11">
        <f>'[3]15)营业外收支预算表'!C15+'[4]15)营业外收支预算表'!C15+'[5]15)营业外收支预算表'!C15</f>
        <v>137939.40999999997</v>
      </c>
      <c r="D15" s="11">
        <f>'[3]15)营业外收支预算表'!D15+'[4]15)营业外收支预算表'!D15+'[5]15)营业外收支预算表'!D15</f>
        <v>3600</v>
      </c>
      <c r="E15" s="11">
        <f t="shared" si="2"/>
        <v>141539.40999999997</v>
      </c>
      <c r="F15" s="40" t="e">
        <f t="shared" si="0"/>
        <v>#DIV/0!</v>
      </c>
      <c r="G15" s="26">
        <f t="shared" si="3"/>
        <v>0</v>
      </c>
      <c r="H15" s="11">
        <f>'[3]15)营业外收支预算表'!H15+'[4]15)营业外收支预算表'!H15+'[5]15)营业外收支预算表'!H15</f>
        <v>0</v>
      </c>
      <c r="I15" s="11">
        <f>'[3]15)营业外收支预算表'!I15+'[4]15)营业外收支预算表'!I15+'[5]15)营业外收支预算表'!I15</f>
        <v>0</v>
      </c>
      <c r="J15" s="11">
        <f>'[3]15)营业外收支预算表'!J15+'[4]15)营业外收支预算表'!J15+'[5]15)营业外收支预算表'!J15</f>
        <v>0</v>
      </c>
      <c r="K15" s="11">
        <f>'[3]15)营业外收支预算表'!K15+'[4]15)营业外收支预算表'!K15+'[5]15)营业外收支预算表'!K15</f>
        <v>0</v>
      </c>
      <c r="L15" s="41">
        <f t="shared" si="1"/>
        <v>0</v>
      </c>
      <c r="M15" s="3"/>
    </row>
    <row r="16" spans="1:13" ht="18" customHeight="1">
      <c r="A16" s="3" t="s">
        <v>730</v>
      </c>
      <c r="B16" s="26">
        <f>SUM(B17:B30)</f>
        <v>120000</v>
      </c>
      <c r="C16" s="26">
        <f>SUM(C17:C30)</f>
        <v>58423.89</v>
      </c>
      <c r="D16" s="26">
        <f>SUM(D17:D30)</f>
        <v>75000</v>
      </c>
      <c r="E16" s="26">
        <f>SUM(E17:E30)</f>
        <v>133423.89</v>
      </c>
      <c r="F16" s="40">
        <f t="shared" si="0"/>
        <v>1.1118657500000002</v>
      </c>
      <c r="G16" s="26">
        <f>SUM(G17:G30)</f>
        <v>13600</v>
      </c>
      <c r="H16" s="26">
        <f>SUM(H17:H30)</f>
        <v>2000</v>
      </c>
      <c r="I16" s="26">
        <f>SUM(I17:I30)</f>
        <v>2000</v>
      </c>
      <c r="J16" s="26">
        <f>SUM(J17:J30)</f>
        <v>2000</v>
      </c>
      <c r="K16" s="26">
        <f>SUM(K17:K30)</f>
        <v>7600</v>
      </c>
      <c r="L16" s="41">
        <f t="shared" si="1"/>
        <v>0.10193077116849163</v>
      </c>
      <c r="M16" s="3"/>
    </row>
    <row r="17" spans="1:13" ht="18" customHeight="1">
      <c r="A17" s="3" t="s">
        <v>731</v>
      </c>
      <c r="B17" s="11">
        <f>'[3]15)营业外收支预算表'!B17+'[4]15)营业外收支预算表'!B17+'[5]15)营业外收支预算表'!B17</f>
        <v>0</v>
      </c>
      <c r="C17" s="11">
        <f>'[3]15)营业外收支预算表'!C17+'[4]15)营业外收支预算表'!C17+'[5]15)营业外收支预算表'!C17</f>
        <v>0</v>
      </c>
      <c r="D17" s="11">
        <f>'[3]15)营业外收支预算表'!D17+'[4]15)营业外收支预算表'!D17+'[5]15)营业外收支预算表'!D17</f>
        <v>0</v>
      </c>
      <c r="E17" s="11">
        <f t="shared" si="2"/>
        <v>0</v>
      </c>
      <c r="F17" s="40" t="e">
        <f t="shared" si="0"/>
        <v>#DIV/0!</v>
      </c>
      <c r="G17" s="26">
        <f t="shared" si="3"/>
        <v>0</v>
      </c>
      <c r="H17" s="11">
        <f>'[3]15)营业外收支预算表'!H17+'[4]15)营业外收支预算表'!H17+'[5]15)营业外收支预算表'!H17</f>
        <v>0</v>
      </c>
      <c r="I17" s="11">
        <f>'[3]15)营业外收支预算表'!I17+'[4]15)营业外收支预算表'!I17+'[5]15)营业外收支预算表'!I17</f>
        <v>0</v>
      </c>
      <c r="J17" s="11">
        <f>'[3]15)营业外收支预算表'!J17+'[4]15)营业外收支预算表'!J17+'[5]15)营业外收支预算表'!J17</f>
        <v>0</v>
      </c>
      <c r="K17" s="11">
        <f>'[3]15)营业外收支预算表'!K17+'[4]15)营业外收支预算表'!K17+'[5]15)营业外收支预算表'!K17</f>
        <v>0</v>
      </c>
      <c r="L17" s="41" t="e">
        <f t="shared" si="1"/>
        <v>#DIV/0!</v>
      </c>
      <c r="M17" s="3"/>
    </row>
    <row r="18" spans="1:13" ht="18" customHeight="1">
      <c r="A18" s="3" t="s">
        <v>732</v>
      </c>
      <c r="B18" s="11">
        <f>'[3]15)营业外收支预算表'!B18+'[4]15)营业外收支预算表'!B18+'[5]15)营业外收支预算表'!B18</f>
        <v>0</v>
      </c>
      <c r="C18" s="11">
        <f>'[3]15)营业外收支预算表'!C18+'[4]15)营业外收支预算表'!C18+'[5]15)营业外收支预算表'!C18</f>
        <v>0</v>
      </c>
      <c r="D18" s="11">
        <f>'[3]15)营业外收支预算表'!D18+'[4]15)营业外收支预算表'!D18+'[5]15)营业外收支预算表'!D18</f>
        <v>0</v>
      </c>
      <c r="E18" s="11">
        <f t="shared" si="2"/>
        <v>0</v>
      </c>
      <c r="F18" s="40" t="e">
        <f t="shared" si="0"/>
        <v>#DIV/0!</v>
      </c>
      <c r="G18" s="26">
        <f t="shared" si="3"/>
        <v>0</v>
      </c>
      <c r="H18" s="11">
        <f>'[3]15)营业外收支预算表'!H18+'[4]15)营业外收支预算表'!H18+'[5]15)营业外收支预算表'!H18</f>
        <v>0</v>
      </c>
      <c r="I18" s="11">
        <f>'[3]15)营业外收支预算表'!I18+'[4]15)营业外收支预算表'!I18+'[5]15)营业外收支预算表'!I18</f>
        <v>0</v>
      </c>
      <c r="J18" s="11">
        <f>'[3]15)营业外收支预算表'!J18+'[4]15)营业外收支预算表'!J18+'[5]15)营业外收支预算表'!J18</f>
        <v>0</v>
      </c>
      <c r="K18" s="11">
        <f>'[3]15)营业外收支预算表'!K18+'[4]15)营业外收支预算表'!K18+'[5]15)营业外收支预算表'!K18</f>
        <v>0</v>
      </c>
      <c r="L18" s="41" t="e">
        <f t="shared" si="1"/>
        <v>#DIV/0!</v>
      </c>
      <c r="M18" s="3"/>
    </row>
    <row r="19" spans="1:13" ht="18" customHeight="1">
      <c r="A19" s="3" t="s">
        <v>733</v>
      </c>
      <c r="B19" s="11">
        <f>'[3]15)营业外收支预算表'!B19+'[4]15)营业外收支预算表'!B19+'[5]15)营业外收支预算表'!B19</f>
        <v>0</v>
      </c>
      <c r="C19" s="11">
        <f>'[3]15)营业外收支预算表'!C19+'[4]15)营业外收支预算表'!C19+'[5]15)营业外收支预算表'!C19</f>
        <v>0</v>
      </c>
      <c r="D19" s="11">
        <f>'[3]15)营业外收支预算表'!D19+'[4]15)营业外收支预算表'!D19+'[5]15)营业外收支预算表'!D19</f>
        <v>0</v>
      </c>
      <c r="E19" s="11">
        <f t="shared" si="2"/>
        <v>0</v>
      </c>
      <c r="F19" s="40" t="e">
        <f t="shared" si="0"/>
        <v>#DIV/0!</v>
      </c>
      <c r="G19" s="26">
        <f t="shared" si="3"/>
        <v>0</v>
      </c>
      <c r="H19" s="11">
        <f>'[3]15)营业外收支预算表'!H19+'[4]15)营业外收支预算表'!H19+'[5]15)营业外收支预算表'!H19</f>
        <v>0</v>
      </c>
      <c r="I19" s="11">
        <f>'[3]15)营业外收支预算表'!I19+'[4]15)营业外收支预算表'!I19+'[5]15)营业外收支预算表'!I19</f>
        <v>0</v>
      </c>
      <c r="J19" s="11">
        <f>'[3]15)营业外收支预算表'!J19+'[4]15)营业外收支预算表'!J19+'[5]15)营业外收支预算表'!J19</f>
        <v>0</v>
      </c>
      <c r="K19" s="11">
        <f>'[3]15)营业外收支预算表'!K19+'[4]15)营业外收支预算表'!K19+'[5]15)营业外收支预算表'!K19</f>
        <v>0</v>
      </c>
      <c r="L19" s="41" t="e">
        <f t="shared" si="1"/>
        <v>#DIV/0!</v>
      </c>
      <c r="M19" s="3"/>
    </row>
    <row r="20" spans="1:13" ht="18" customHeight="1">
      <c r="A20" s="3" t="s">
        <v>734</v>
      </c>
      <c r="B20" s="11">
        <f>'[3]15)营业外收支预算表'!B20+'[4]15)营业外收支预算表'!B20+'[5]15)营业外收支预算表'!B20</f>
        <v>0</v>
      </c>
      <c r="C20" s="11">
        <f>'[3]15)营业外收支预算表'!C20+'[4]15)营业外收支预算表'!C20+'[5]15)营业外收支预算表'!C20</f>
        <v>0</v>
      </c>
      <c r="D20" s="11">
        <f>'[3]15)营业外收支预算表'!D20+'[4]15)营业外收支预算表'!D20+'[5]15)营业外收支预算表'!D20</f>
        <v>0</v>
      </c>
      <c r="E20" s="11">
        <f t="shared" si="2"/>
        <v>0</v>
      </c>
      <c r="F20" s="40" t="e">
        <f t="shared" si="0"/>
        <v>#DIV/0!</v>
      </c>
      <c r="G20" s="26">
        <f t="shared" si="3"/>
        <v>0</v>
      </c>
      <c r="H20" s="11">
        <f>'[3]15)营业外收支预算表'!H20+'[4]15)营业外收支预算表'!H20+'[5]15)营业外收支预算表'!H20</f>
        <v>0</v>
      </c>
      <c r="I20" s="11">
        <f>'[3]15)营业外收支预算表'!I20+'[4]15)营业外收支预算表'!I20+'[5]15)营业外收支预算表'!I20</f>
        <v>0</v>
      </c>
      <c r="J20" s="11">
        <f>'[3]15)营业外收支预算表'!J20+'[4]15)营业外收支预算表'!J20+'[5]15)营业外收支预算表'!J20</f>
        <v>0</v>
      </c>
      <c r="K20" s="11">
        <f>'[3]15)营业外收支预算表'!K20+'[4]15)营业外收支预算表'!K20+'[5]15)营业外收支预算表'!K20</f>
        <v>0</v>
      </c>
      <c r="L20" s="41" t="e">
        <f t="shared" si="1"/>
        <v>#DIV/0!</v>
      </c>
      <c r="M20" s="3"/>
    </row>
    <row r="21" spans="1:13" ht="18" customHeight="1">
      <c r="A21" s="3" t="s">
        <v>735</v>
      </c>
      <c r="B21" s="11">
        <f>'[3]15)营业外收支预算表'!B21+'[4]15)营业外收支预算表'!B21+'[5]15)营业外收支预算表'!B21</f>
        <v>0</v>
      </c>
      <c r="C21" s="11">
        <f>'[3]15)营业外收支预算表'!C21+'[4]15)营业外收支预算表'!C21+'[5]15)营业外收支预算表'!C21</f>
        <v>0</v>
      </c>
      <c r="D21" s="11">
        <f>'[3]15)营业外收支预算表'!D21+'[4]15)营业外收支预算表'!D21+'[5]15)营业外收支预算表'!D21</f>
        <v>0</v>
      </c>
      <c r="E21" s="11">
        <f t="shared" si="2"/>
        <v>0</v>
      </c>
      <c r="F21" s="40" t="e">
        <f t="shared" si="0"/>
        <v>#DIV/0!</v>
      </c>
      <c r="G21" s="26">
        <f t="shared" si="3"/>
        <v>0</v>
      </c>
      <c r="H21" s="11">
        <f>'[3]15)营业外收支预算表'!H21+'[4]15)营业外收支预算表'!H21+'[5]15)营业外收支预算表'!H21</f>
        <v>0</v>
      </c>
      <c r="I21" s="11">
        <f>'[3]15)营业外收支预算表'!I21+'[4]15)营业外收支预算表'!I21+'[5]15)营业外收支预算表'!I21</f>
        <v>0</v>
      </c>
      <c r="J21" s="11">
        <f>'[3]15)营业外收支预算表'!J21+'[4]15)营业外收支预算表'!J21+'[5]15)营业外收支预算表'!J21</f>
        <v>0</v>
      </c>
      <c r="K21" s="11">
        <f>'[3]15)营业外收支预算表'!K21+'[4]15)营业外收支预算表'!K21+'[5]15)营业外收支预算表'!K21</f>
        <v>0</v>
      </c>
      <c r="L21" s="41" t="e">
        <f t="shared" si="1"/>
        <v>#DIV/0!</v>
      </c>
      <c r="M21" s="3"/>
    </row>
    <row r="22" spans="1:13" ht="18" customHeight="1">
      <c r="A22" s="3" t="s">
        <v>736</v>
      </c>
      <c r="B22" s="11">
        <f>'[3]15)营业外收支预算表'!B22+'[4]15)营业外收支预算表'!B22+'[5]15)营业外收支预算表'!B22</f>
        <v>0</v>
      </c>
      <c r="C22" s="11">
        <f>'[3]15)营业外收支预算表'!C22+'[4]15)营业外收支预算表'!C22+'[5]15)营业外收支预算表'!C22</f>
        <v>0</v>
      </c>
      <c r="D22" s="11">
        <f>'[3]15)营业外收支预算表'!D22+'[4]15)营业外收支预算表'!D22+'[5]15)营业外收支预算表'!D22</f>
        <v>0</v>
      </c>
      <c r="E22" s="11">
        <f t="shared" si="2"/>
        <v>0</v>
      </c>
      <c r="F22" s="40" t="e">
        <f t="shared" si="0"/>
        <v>#DIV/0!</v>
      </c>
      <c r="G22" s="26">
        <f t="shared" si="3"/>
        <v>0</v>
      </c>
      <c r="H22" s="11">
        <f>'[3]15)营业外收支预算表'!H22+'[4]15)营业外收支预算表'!H22+'[5]15)营业外收支预算表'!H22</f>
        <v>0</v>
      </c>
      <c r="I22" s="11">
        <f>'[3]15)营业外收支预算表'!I22+'[4]15)营业外收支预算表'!I22+'[5]15)营业外收支预算表'!I22</f>
        <v>0</v>
      </c>
      <c r="J22" s="11">
        <f>'[3]15)营业外收支预算表'!J22+'[4]15)营业外收支预算表'!J22+'[5]15)营业外收支预算表'!J22</f>
        <v>0</v>
      </c>
      <c r="K22" s="11">
        <f>'[3]15)营业外收支预算表'!K22+'[4]15)营业外收支预算表'!K22+'[5]15)营业外收支预算表'!K22</f>
        <v>0</v>
      </c>
      <c r="L22" s="41" t="e">
        <f t="shared" si="1"/>
        <v>#DIV/0!</v>
      </c>
      <c r="M22" s="3"/>
    </row>
    <row r="23" spans="1:13" ht="18" customHeight="1">
      <c r="A23" s="3" t="s">
        <v>737</v>
      </c>
      <c r="B23" s="11">
        <f>'[3]15)营业外收支预算表'!B23+'[4]15)营业外收支预算表'!B23+'[5]15)营业外收支预算表'!B23</f>
        <v>0</v>
      </c>
      <c r="C23" s="11">
        <f>'[3]15)营业外收支预算表'!C23+'[4]15)营业外收支预算表'!C23+'[5]15)营业外收支预算表'!C23</f>
        <v>0</v>
      </c>
      <c r="D23" s="11">
        <f>'[3]15)营业外收支预算表'!D23+'[4]15)营业外收支预算表'!D23+'[5]15)营业外收支预算表'!D23</f>
        <v>0</v>
      </c>
      <c r="E23" s="11">
        <f t="shared" si="2"/>
        <v>0</v>
      </c>
      <c r="F23" s="40" t="e">
        <f t="shared" si="0"/>
        <v>#DIV/0!</v>
      </c>
      <c r="G23" s="26">
        <f t="shared" si="3"/>
        <v>0</v>
      </c>
      <c r="H23" s="11">
        <f>'[3]15)营业外收支预算表'!H23+'[4]15)营业外收支预算表'!H23+'[5]15)营业外收支预算表'!H23</f>
        <v>0</v>
      </c>
      <c r="I23" s="11">
        <f>'[3]15)营业外收支预算表'!I23+'[4]15)营业外收支预算表'!I23+'[5]15)营业外收支预算表'!I23</f>
        <v>0</v>
      </c>
      <c r="J23" s="11">
        <f>'[3]15)营业外收支预算表'!J23+'[4]15)营业外收支预算表'!J23+'[5]15)营业外收支预算表'!J23</f>
        <v>0</v>
      </c>
      <c r="K23" s="11">
        <f>'[3]15)营业外收支预算表'!K23+'[4]15)营业外收支预算表'!K23+'[5]15)营业外收支预算表'!K23</f>
        <v>0</v>
      </c>
      <c r="L23" s="41" t="e">
        <f t="shared" si="1"/>
        <v>#DIV/0!</v>
      </c>
      <c r="M23" s="3"/>
    </row>
    <row r="24" spans="1:13" ht="18" customHeight="1">
      <c r="A24" s="3" t="s">
        <v>738</v>
      </c>
      <c r="B24" s="11">
        <f>'[3]15)营业外收支预算表'!B24+'[4]15)营业外收支预算表'!B24+'[5]15)营业外收支预算表'!B24</f>
        <v>0</v>
      </c>
      <c r="C24" s="11">
        <f>'[3]15)营业外收支预算表'!C24+'[4]15)营业外收支预算表'!C24+'[5]15)营业外收支预算表'!C24</f>
        <v>0</v>
      </c>
      <c r="D24" s="11">
        <f>'[3]15)营业外收支预算表'!D24+'[4]15)营业外收支预算表'!D24+'[5]15)营业外收支预算表'!D24</f>
        <v>0</v>
      </c>
      <c r="E24" s="11">
        <f t="shared" si="2"/>
        <v>0</v>
      </c>
      <c r="F24" s="40" t="e">
        <f t="shared" si="0"/>
        <v>#DIV/0!</v>
      </c>
      <c r="G24" s="26">
        <f t="shared" si="3"/>
        <v>0</v>
      </c>
      <c r="H24" s="11">
        <f>'[3]15)营业外收支预算表'!H24+'[4]15)营业外收支预算表'!H24+'[5]15)营业外收支预算表'!H24</f>
        <v>0</v>
      </c>
      <c r="I24" s="11">
        <f>'[3]15)营业外收支预算表'!I24+'[4]15)营业外收支预算表'!I24+'[5]15)营业外收支预算表'!I24</f>
        <v>0</v>
      </c>
      <c r="J24" s="11">
        <f>'[3]15)营业外收支预算表'!J24+'[4]15)营业外收支预算表'!J24+'[5]15)营业外收支预算表'!J24</f>
        <v>0</v>
      </c>
      <c r="K24" s="11">
        <f>'[3]15)营业外收支预算表'!K24+'[4]15)营业外收支预算表'!K24+'[5]15)营业外收支预算表'!K24</f>
        <v>0</v>
      </c>
      <c r="L24" s="41" t="e">
        <f t="shared" si="1"/>
        <v>#DIV/0!</v>
      </c>
      <c r="M24" s="3"/>
    </row>
    <row r="25" spans="1:13" ht="18" customHeight="1">
      <c r="A25" s="3" t="s">
        <v>739</v>
      </c>
      <c r="B25" s="11">
        <f>'[3]15)营业外收支预算表'!B25+'[4]15)营业外收支预算表'!B25+'[5]15)营业外收支预算表'!B25</f>
        <v>0</v>
      </c>
      <c r="C25" s="11">
        <f>'[3]15)营业外收支预算表'!C25+'[4]15)营业外收支预算表'!C25+'[5]15)营业外收支预算表'!C25</f>
        <v>0</v>
      </c>
      <c r="D25" s="11">
        <f>'[3]15)营业外收支预算表'!D25+'[4]15)营业外收支预算表'!D25+'[5]15)营业外收支预算表'!D25</f>
        <v>15000</v>
      </c>
      <c r="E25" s="11">
        <f t="shared" si="2"/>
        <v>15000</v>
      </c>
      <c r="F25" s="40" t="e">
        <f t="shared" si="0"/>
        <v>#DIV/0!</v>
      </c>
      <c r="G25" s="26">
        <f t="shared" si="3"/>
        <v>0</v>
      </c>
      <c r="H25" s="11">
        <f>'[3]15)营业外收支预算表'!H25+'[4]15)营业外收支预算表'!H25+'[5]15)营业外收支预算表'!H25</f>
        <v>0</v>
      </c>
      <c r="I25" s="11">
        <f>'[3]15)营业外收支预算表'!I25+'[4]15)营业外收支预算表'!I25+'[5]15)营业外收支预算表'!I25</f>
        <v>0</v>
      </c>
      <c r="J25" s="11">
        <f>'[3]15)营业外收支预算表'!J25+'[4]15)营业外收支预算表'!J25+'[5]15)营业外收支预算表'!J25</f>
        <v>0</v>
      </c>
      <c r="K25" s="11">
        <f>'[3]15)营业外收支预算表'!K25+'[4]15)营业外收支预算表'!K25+'[5]15)营业外收支预算表'!K25</f>
        <v>0</v>
      </c>
      <c r="L25" s="41">
        <f t="shared" si="1"/>
        <v>0</v>
      </c>
      <c r="M25" s="3"/>
    </row>
    <row r="26" spans="1:13" ht="18" customHeight="1">
      <c r="A26" s="3" t="s">
        <v>740</v>
      </c>
      <c r="B26" s="11">
        <f>'[3]15)营业外收支预算表'!B26+'[4]15)营业外收支预算表'!B26+'[5]15)营业外收支预算表'!B26</f>
        <v>0</v>
      </c>
      <c r="C26" s="11">
        <f>'[3]15)营业外收支预算表'!C26+'[4]15)营业外收支预算表'!C26+'[5]15)营业外收支预算表'!C26</f>
        <v>0</v>
      </c>
      <c r="D26" s="11">
        <f>'[3]15)营业外收支预算表'!D26+'[4]15)营业外收支预算表'!D26+'[5]15)营业外收支预算表'!D26</f>
        <v>0</v>
      </c>
      <c r="E26" s="11">
        <f t="shared" si="2"/>
        <v>0</v>
      </c>
      <c r="F26" s="40" t="e">
        <f t="shared" si="0"/>
        <v>#DIV/0!</v>
      </c>
      <c r="G26" s="26">
        <f t="shared" si="3"/>
        <v>0</v>
      </c>
      <c r="H26" s="11">
        <f>'[3]15)营业外收支预算表'!H26+'[4]15)营业外收支预算表'!H26+'[5]15)营业外收支预算表'!H26</f>
        <v>0</v>
      </c>
      <c r="I26" s="11">
        <f>'[3]15)营业外收支预算表'!I26+'[4]15)营业外收支预算表'!I26+'[5]15)营业外收支预算表'!I26</f>
        <v>0</v>
      </c>
      <c r="J26" s="11">
        <f>'[3]15)营业外收支预算表'!J26+'[4]15)营业外收支预算表'!J26+'[5]15)营业外收支预算表'!J26</f>
        <v>0</v>
      </c>
      <c r="K26" s="11">
        <f>'[3]15)营业外收支预算表'!K26+'[4]15)营业外收支预算表'!K26+'[5]15)营业外收支预算表'!K26</f>
        <v>0</v>
      </c>
      <c r="L26" s="41" t="e">
        <f t="shared" si="1"/>
        <v>#DIV/0!</v>
      </c>
      <c r="M26" s="3"/>
    </row>
    <row r="27" spans="1:13" ht="18" customHeight="1">
      <c r="A27" s="3" t="s">
        <v>741</v>
      </c>
      <c r="B27" s="11">
        <f>'[3]15)营业外收支预算表'!B27+'[4]15)营业外收支预算表'!B27+'[5]15)营业外收支预算表'!B27</f>
        <v>0</v>
      </c>
      <c r="C27" s="11">
        <f>'[3]15)营业外收支预算表'!C27+'[4]15)营业外收支预算表'!C27+'[5]15)营业外收支预算表'!C27</f>
        <v>0</v>
      </c>
      <c r="D27" s="11">
        <f>'[3]15)营业外收支预算表'!D27+'[4]15)营业外收支预算表'!D27+'[5]15)营业外收支预算表'!D27</f>
        <v>0</v>
      </c>
      <c r="E27" s="11">
        <f t="shared" si="2"/>
        <v>0</v>
      </c>
      <c r="F27" s="40" t="e">
        <f t="shared" si="0"/>
        <v>#DIV/0!</v>
      </c>
      <c r="G27" s="26">
        <f t="shared" si="3"/>
        <v>0</v>
      </c>
      <c r="H27" s="11">
        <f>'[3]15)营业外收支预算表'!H27+'[4]15)营业外收支预算表'!H27+'[5]15)营业外收支预算表'!H27</f>
        <v>0</v>
      </c>
      <c r="I27" s="11">
        <f>'[3]15)营业外收支预算表'!I27+'[4]15)营业外收支预算表'!I27+'[5]15)营业外收支预算表'!I27</f>
        <v>0</v>
      </c>
      <c r="J27" s="11">
        <f>'[3]15)营业外收支预算表'!J27+'[4]15)营业外收支预算表'!J27+'[5]15)营业外收支预算表'!J27</f>
        <v>0</v>
      </c>
      <c r="K27" s="11">
        <f>'[3]15)营业外收支预算表'!K27+'[4]15)营业外收支预算表'!K27+'[5]15)营业外收支预算表'!K27</f>
        <v>0</v>
      </c>
      <c r="L27" s="41" t="e">
        <f t="shared" si="1"/>
        <v>#DIV/0!</v>
      </c>
      <c r="M27" s="3"/>
    </row>
    <row r="28" spans="1:13" ht="18" customHeight="1">
      <c r="A28" s="3" t="s">
        <v>742</v>
      </c>
      <c r="B28" s="11">
        <f>'[3]15)营业外收支预算表'!B28+'[4]15)营业外收支预算表'!B28+'[5]15)营业外收支预算表'!B28</f>
        <v>0</v>
      </c>
      <c r="C28" s="11">
        <f>'[3]15)营业外收支预算表'!C28+'[4]15)营业外收支预算表'!C28+'[5]15)营业外收支预算表'!C28</f>
        <v>0</v>
      </c>
      <c r="D28" s="11">
        <f>'[3]15)营业外收支预算表'!D28+'[4]15)营业外收支预算表'!D28+'[5]15)营业外收支预算表'!D28</f>
        <v>0</v>
      </c>
      <c r="E28" s="11">
        <f t="shared" si="2"/>
        <v>0</v>
      </c>
      <c r="F28" s="40" t="e">
        <f t="shared" si="0"/>
        <v>#DIV/0!</v>
      </c>
      <c r="G28" s="26">
        <f t="shared" si="3"/>
        <v>0</v>
      </c>
      <c r="H28" s="11">
        <f>'[3]15)营业外收支预算表'!H28+'[4]15)营业外收支预算表'!H28+'[5]15)营业外收支预算表'!H28</f>
        <v>0</v>
      </c>
      <c r="I28" s="11">
        <f>'[3]15)营业外收支预算表'!I28+'[4]15)营业外收支预算表'!I28+'[5]15)营业外收支预算表'!I28</f>
        <v>0</v>
      </c>
      <c r="J28" s="11">
        <f>'[3]15)营业外收支预算表'!J28+'[4]15)营业外收支预算表'!J28+'[5]15)营业外收支预算表'!J28</f>
        <v>0</v>
      </c>
      <c r="K28" s="11">
        <f>'[3]15)营业外收支预算表'!K28+'[4]15)营业外收支预算表'!K28+'[5]15)营业外收支预算表'!K28</f>
        <v>0</v>
      </c>
      <c r="L28" s="41" t="e">
        <f t="shared" si="1"/>
        <v>#DIV/0!</v>
      </c>
      <c r="M28" s="3"/>
    </row>
    <row r="29" spans="1:13" ht="18" customHeight="1">
      <c r="A29" s="3" t="s">
        <v>743</v>
      </c>
      <c r="B29" s="11">
        <f>'[3]15)营业外收支预算表'!B29+'[4]15)营业外收支预算表'!B29+'[5]15)营业外收支预算表'!B29</f>
        <v>120000</v>
      </c>
      <c r="C29" s="11">
        <f>'[3]15)营业外收支预算表'!C29+'[4]15)营业外收支预算表'!C29+'[5]15)营业外收支预算表'!C29</f>
        <v>57961.72</v>
      </c>
      <c r="D29" s="11">
        <f>'[3]15)营业外收支预算表'!D29+'[4]15)营业外收支预算表'!D29+'[5]15)营业外收支预算表'!D29</f>
        <v>60000</v>
      </c>
      <c r="E29" s="11">
        <f t="shared" si="2"/>
        <v>117961.72</v>
      </c>
      <c r="F29" s="40">
        <f t="shared" si="0"/>
        <v>0.9830143333333333</v>
      </c>
      <c r="G29" s="26">
        <f t="shared" si="3"/>
        <v>13600</v>
      </c>
      <c r="H29" s="11">
        <f>'[3]15)营业外收支预算表'!H29+'[4]15)营业外收支预算表'!H29+'[5]15)营业外收支预算表'!H29</f>
        <v>2000</v>
      </c>
      <c r="I29" s="11">
        <f>'[3]15)营业外收支预算表'!I29+'[4]15)营业外收支预算表'!I29+'[5]15)营业外收支预算表'!I29</f>
        <v>2000</v>
      </c>
      <c r="J29" s="11">
        <f>'[3]15)营业外收支预算表'!J29+'[4]15)营业外收支预算表'!J29+'[5]15)营业外收支预算表'!J29</f>
        <v>2000</v>
      </c>
      <c r="K29" s="11">
        <f>'[3]15)营业外收支预算表'!K29+'[4]15)营业外收支预算表'!K29+'[5]15)营业外收支预算表'!K29</f>
        <v>7600</v>
      </c>
      <c r="L29" s="41">
        <f t="shared" si="1"/>
        <v>0.11529163867736075</v>
      </c>
      <c r="M29" s="3"/>
    </row>
    <row r="30" spans="1:15" ht="18" customHeight="1">
      <c r="A30" s="3" t="s">
        <v>729</v>
      </c>
      <c r="B30" s="11">
        <f>'[3]15)营业外收支预算表'!B30+'[4]15)营业外收支预算表'!B30+'[5]15)营业外收支预算表'!B30</f>
        <v>0</v>
      </c>
      <c r="C30" s="11">
        <f>'[3]15)营业外收支预算表'!C30+'[4]15)营业外收支预算表'!C30+'[5]15)营业外收支预算表'!C30</f>
        <v>462.17</v>
      </c>
      <c r="D30" s="11">
        <f>'[3]15)营业外收支预算表'!D30+'[4]15)营业外收支预算表'!D30+'[5]15)营业外收支预算表'!D30</f>
        <v>0</v>
      </c>
      <c r="E30" s="11">
        <f t="shared" si="2"/>
        <v>462.17</v>
      </c>
      <c r="F30" s="40" t="e">
        <f t="shared" si="0"/>
        <v>#DIV/0!</v>
      </c>
      <c r="G30" s="26">
        <f t="shared" si="3"/>
        <v>0</v>
      </c>
      <c r="H30" s="11">
        <f>'[3]15)营业外收支预算表'!H30+'[4]15)营业外收支预算表'!H30+'[5]15)营业外收支预算表'!H30</f>
        <v>0</v>
      </c>
      <c r="I30" s="11">
        <f>'[3]15)营业外收支预算表'!I30+'[4]15)营业外收支预算表'!I30+'[5]15)营业外收支预算表'!I30</f>
        <v>0</v>
      </c>
      <c r="J30" s="11">
        <f>'[3]15)营业外收支预算表'!J30+'[4]15)营业外收支预算表'!J30+'[5]15)营业外收支预算表'!J30</f>
        <v>0</v>
      </c>
      <c r="K30" s="11">
        <f>'[3]15)营业外收支预算表'!K30+'[4]15)营业外收支预算表'!K30+'[5]15)营业外收支预算表'!K30</f>
        <v>0</v>
      </c>
      <c r="L30" s="41">
        <f t="shared" si="1"/>
        <v>0</v>
      </c>
      <c r="M30" s="3"/>
      <c r="O30" s="101"/>
    </row>
    <row r="31" spans="1:13" ht="18" customHeight="1">
      <c r="A31" s="3"/>
      <c r="B31" s="3"/>
      <c r="C31" s="3"/>
      <c r="D31" s="4" t="s">
        <v>340</v>
      </c>
      <c r="E31" s="5"/>
      <c r="F31" s="5"/>
      <c r="G31" s="5"/>
      <c r="H31" s="16"/>
      <c r="I31" s="17" t="s">
        <v>380</v>
      </c>
      <c r="J31" s="3"/>
      <c r="K31" s="3"/>
      <c r="L31" s="3"/>
      <c r="M31" s="3"/>
    </row>
  </sheetData>
  <sheetProtection/>
  <mergeCells count="6">
    <mergeCell ref="A1:M1"/>
    <mergeCell ref="B3:F3"/>
    <mergeCell ref="G3:K3"/>
    <mergeCell ref="A3:A4"/>
    <mergeCell ref="L3:L4"/>
    <mergeCell ref="M3:M4"/>
  </mergeCells>
  <printOptions/>
  <pageMargins left="0.41" right="0.32" top="0.59" bottom="0.31" header="0.19" footer="0.11999999999999998"/>
  <pageSetup fitToHeight="1" fitToWidth="1" horizontalDpi="300" verticalDpi="300" orientation="landscape" paperSize="9" scale="76"/>
</worksheet>
</file>

<file path=xl/worksheets/sheet32.xml><?xml version="1.0" encoding="utf-8"?>
<worksheet xmlns="http://schemas.openxmlformats.org/spreadsheetml/2006/main" xmlns:r="http://schemas.openxmlformats.org/officeDocument/2006/relationships">
  <sheetPr>
    <pageSetUpPr fitToPage="1"/>
  </sheetPr>
  <dimension ref="A1:J68"/>
  <sheetViews>
    <sheetView workbookViewId="0" topLeftCell="A37">
      <selection activeCell="C64" sqref="C64"/>
    </sheetView>
  </sheetViews>
  <sheetFormatPr defaultColWidth="9.140625" defaultRowHeight="12.75"/>
  <cols>
    <col min="1" max="1" width="19.00390625" style="0" customWidth="1"/>
    <col min="2" max="2" width="15.28125" style="56" customWidth="1"/>
    <col min="3" max="9" width="15.28125" style="0" customWidth="1"/>
    <col min="10" max="10" width="10.00390625" style="0" customWidth="1"/>
  </cols>
  <sheetData>
    <row r="1" spans="1:10" ht="24.75" customHeight="1">
      <c r="A1" s="23" t="s">
        <v>744</v>
      </c>
      <c r="B1" s="93" t="s">
        <v>744</v>
      </c>
      <c r="C1" s="23" t="s">
        <v>744</v>
      </c>
      <c r="D1" s="23" t="s">
        <v>744</v>
      </c>
      <c r="E1" s="23" t="s">
        <v>744</v>
      </c>
      <c r="F1" s="23" t="s">
        <v>744</v>
      </c>
      <c r="G1" s="23" t="s">
        <v>744</v>
      </c>
      <c r="H1" s="23" t="s">
        <v>744</v>
      </c>
      <c r="I1" s="23" t="s">
        <v>744</v>
      </c>
      <c r="J1" s="23" t="s">
        <v>744</v>
      </c>
    </row>
    <row r="2" spans="1:10" ht="18" customHeight="1">
      <c r="A2" s="5" t="s">
        <v>287</v>
      </c>
      <c r="B2" s="94"/>
      <c r="C2" s="46"/>
      <c r="D2" s="47"/>
      <c r="E2" s="24" t="s">
        <v>288</v>
      </c>
      <c r="F2" s="5"/>
      <c r="G2" s="5"/>
      <c r="H2" s="5"/>
      <c r="I2" s="16" t="s">
        <v>1</v>
      </c>
      <c r="J2" s="5"/>
    </row>
    <row r="3" spans="1:10" ht="18" customHeight="1">
      <c r="A3" s="18" t="s">
        <v>290</v>
      </c>
      <c r="B3" s="7" t="s">
        <v>366</v>
      </c>
      <c r="C3" s="7"/>
      <c r="D3" s="8"/>
      <c r="E3" s="9" t="s">
        <v>292</v>
      </c>
      <c r="F3" s="9" t="s">
        <v>292</v>
      </c>
      <c r="G3" s="9" t="s">
        <v>292</v>
      </c>
      <c r="H3" s="9" t="s">
        <v>292</v>
      </c>
      <c r="I3" s="9" t="s">
        <v>292</v>
      </c>
      <c r="J3" s="18" t="s">
        <v>33</v>
      </c>
    </row>
    <row r="4" spans="1:10" ht="18" customHeight="1">
      <c r="A4" s="18" t="s">
        <v>290</v>
      </c>
      <c r="B4" s="9" t="s">
        <v>295</v>
      </c>
      <c r="C4" s="9" t="s">
        <v>296</v>
      </c>
      <c r="D4" s="9" t="s">
        <v>745</v>
      </c>
      <c r="E4" s="9" t="s">
        <v>314</v>
      </c>
      <c r="F4" s="9" t="s">
        <v>324</v>
      </c>
      <c r="G4" s="9" t="s">
        <v>331</v>
      </c>
      <c r="H4" s="9" t="s">
        <v>334</v>
      </c>
      <c r="I4" s="9" t="s">
        <v>336</v>
      </c>
      <c r="J4" s="18" t="s">
        <v>33</v>
      </c>
    </row>
    <row r="5" spans="1:10" ht="18" customHeight="1">
      <c r="A5" s="25" t="s">
        <v>746</v>
      </c>
      <c r="B5" s="21" t="s">
        <v>530</v>
      </c>
      <c r="C5" s="18" t="s">
        <v>530</v>
      </c>
      <c r="D5" s="18" t="s">
        <v>530</v>
      </c>
      <c r="E5" s="18" t="s">
        <v>530</v>
      </c>
      <c r="F5" s="18" t="s">
        <v>530</v>
      </c>
      <c r="G5" s="18" t="s">
        <v>530</v>
      </c>
      <c r="H5" s="18" t="s">
        <v>530</v>
      </c>
      <c r="I5" s="18" t="s">
        <v>530</v>
      </c>
      <c r="J5" s="5"/>
    </row>
    <row r="6" spans="1:10" ht="18" customHeight="1">
      <c r="A6" s="25" t="s">
        <v>747</v>
      </c>
      <c r="B6" s="11">
        <f>'[3]16)税金预算表'!B6+'[4]16)税金预算表'!B6+'[5]16)税金预算表'!B6</f>
        <v>147007.54</v>
      </c>
      <c r="C6" s="11">
        <f>'[3]16)税金预算表'!C6+'[4]16)税金预算表'!C6+'[5]16)税金预算表'!C6</f>
        <v>307811.31</v>
      </c>
      <c r="D6" s="26">
        <f>B6</f>
        <v>147007.54</v>
      </c>
      <c r="E6" s="26">
        <f>SUM(F6:I6)</f>
        <v>1305621.458558439</v>
      </c>
      <c r="F6" s="26">
        <f>D9</f>
        <v>343211.31000000006</v>
      </c>
      <c r="G6" s="26">
        <f>F9</f>
        <v>309007.47158490575</v>
      </c>
      <c r="H6" s="26">
        <f>G9</f>
        <v>331018.55869240104</v>
      </c>
      <c r="I6" s="26">
        <f>H9</f>
        <v>322384.1182811322</v>
      </c>
      <c r="J6" s="5"/>
    </row>
    <row r="7" spans="1:10" ht="18" customHeight="1">
      <c r="A7" s="25" t="s">
        <v>748</v>
      </c>
      <c r="B7" s="11">
        <f>'[3]16)税金预算表'!B7+'[4]16)税金预算表'!B7+'[5]16)税金预算表'!B7</f>
        <v>925858.52</v>
      </c>
      <c r="C7" s="11">
        <f>'[3]16)税金预算表'!C7+'[4]16)税金预算表'!C7+'[5]16)税金预算表'!C7</f>
        <v>205211.31</v>
      </c>
      <c r="D7" s="11">
        <f>B7+C7</f>
        <v>1131069.83</v>
      </c>
      <c r="E7" s="11">
        <f>SUM(F7:I7)</f>
        <v>1283496.5379395706</v>
      </c>
      <c r="F7" s="11">
        <f>'[3]16)税金预算表'!F7+'[4]16)税金预算表'!F7+'[5]16)税金预算表'!F7</f>
        <v>309007.47158490564</v>
      </c>
      <c r="G7" s="11">
        <f>'[3]16)税金预算表'!G7+'[4]16)税金预算表'!G7+'[5]16)税金预算表'!G7</f>
        <v>331018.55869240087</v>
      </c>
      <c r="H7" s="11">
        <f>'[3]16)税金预算表'!H7+'[4]16)税金预算表'!H7+'[5]16)税金预算表'!H7</f>
        <v>322384.1182811321</v>
      </c>
      <c r="I7" s="11">
        <f>'[3]16)税金预算表'!I7+'[4]16)税金预算表'!I7+'[5]16)税金预算表'!I7</f>
        <v>321086.38938113203</v>
      </c>
      <c r="J7" s="5"/>
    </row>
    <row r="8" spans="1:10" ht="18" customHeight="1">
      <c r="A8" s="25" t="s">
        <v>749</v>
      </c>
      <c r="B8" s="11">
        <f>'[3]16)税金预算表'!B8+'[4]16)税金预算表'!B8+'[5]16)税金预算表'!B8</f>
        <v>765054.75</v>
      </c>
      <c r="C8" s="11">
        <f>'[3]16)税金预算表'!C8+'[4]16)税金预算表'!C8+'[5]16)税金预算表'!C8</f>
        <v>169811.31</v>
      </c>
      <c r="D8" s="11">
        <f>B8+C8</f>
        <v>934866.06</v>
      </c>
      <c r="E8" s="11">
        <f>SUM(F8:I8)</f>
        <v>1305621.4585584386</v>
      </c>
      <c r="F8" s="11">
        <f>'[3]16)税金预算表'!F8+'[4]16)税金预算表'!F8+'[5]16)税金预算表'!F8</f>
        <v>343211.30999999994</v>
      </c>
      <c r="G8" s="11">
        <f>'[3]16)税金预算表'!G8+'[4]16)税金预算表'!G8+'[5]16)税金预算表'!G8</f>
        <v>309007.47158490564</v>
      </c>
      <c r="H8" s="11">
        <f>'[3]16)税金预算表'!H8+'[4]16)税金预算表'!H8+'[5]16)税金预算表'!H8</f>
        <v>331018.5586924009</v>
      </c>
      <c r="I8" s="11">
        <f>'[3]16)税金预算表'!I8+'[4]16)税金预算表'!I8+'[5]16)税金预算表'!I8</f>
        <v>322384.1182811321</v>
      </c>
      <c r="J8" s="5"/>
    </row>
    <row r="9" spans="1:10" ht="18" customHeight="1">
      <c r="A9" s="25" t="s">
        <v>750</v>
      </c>
      <c r="B9" s="11">
        <f>B6+B7-B8</f>
        <v>307811.31000000006</v>
      </c>
      <c r="C9" s="11">
        <f aca="true" t="shared" si="0" ref="C9:I9">C6+C7-C8</f>
        <v>343211.31</v>
      </c>
      <c r="D9" s="11">
        <f t="shared" si="0"/>
        <v>343211.31000000006</v>
      </c>
      <c r="E9" s="11">
        <f t="shared" si="0"/>
        <v>1283496.537939571</v>
      </c>
      <c r="F9" s="11">
        <f t="shared" si="0"/>
        <v>309007.47158490575</v>
      </c>
      <c r="G9" s="11">
        <f t="shared" si="0"/>
        <v>331018.55869240104</v>
      </c>
      <c r="H9" s="11">
        <f t="shared" si="0"/>
        <v>322384.1182811322</v>
      </c>
      <c r="I9" s="11">
        <f t="shared" si="0"/>
        <v>321086.3893811321</v>
      </c>
      <c r="J9" s="5"/>
    </row>
    <row r="10" spans="1:10" ht="18" customHeight="1">
      <c r="A10" s="25" t="s">
        <v>751</v>
      </c>
      <c r="B10" s="21" t="s">
        <v>530</v>
      </c>
      <c r="C10" s="95" t="s">
        <v>530</v>
      </c>
      <c r="D10" s="95" t="s">
        <v>530</v>
      </c>
      <c r="E10" s="95" t="s">
        <v>530</v>
      </c>
      <c r="F10" s="21" t="s">
        <v>530</v>
      </c>
      <c r="G10" s="21" t="s">
        <v>530</v>
      </c>
      <c r="H10" s="21" t="s">
        <v>530</v>
      </c>
      <c r="I10" s="21" t="s">
        <v>530</v>
      </c>
      <c r="J10" s="5"/>
    </row>
    <row r="11" spans="1:10" ht="18" customHeight="1">
      <c r="A11" s="25" t="s">
        <v>747</v>
      </c>
      <c r="B11" s="11">
        <f>'[3]16)税金预算表'!B11+'[4]16)税金预算表'!B11+'[5]16)税金预算表'!B11</f>
        <v>0</v>
      </c>
      <c r="C11" s="11">
        <f>'[3]16)税金预算表'!C11+'[4]16)税金预算表'!C11+'[5]16)税金预算表'!C11</f>
        <v>0</v>
      </c>
      <c r="D11" s="26">
        <f>B11</f>
        <v>0</v>
      </c>
      <c r="E11" s="26">
        <f aca="true" t="shared" si="1" ref="E11:E18">SUM(F11:I11)</f>
        <v>0</v>
      </c>
      <c r="F11" s="26">
        <f>D14</f>
        <v>0</v>
      </c>
      <c r="G11" s="26">
        <f>F14</f>
        <v>0</v>
      </c>
      <c r="H11" s="26">
        <f>G14</f>
        <v>0</v>
      </c>
      <c r="I11" s="26">
        <f>H14</f>
        <v>0</v>
      </c>
      <c r="J11" s="5"/>
    </row>
    <row r="12" spans="1:10" ht="18" customHeight="1">
      <c r="A12" s="25" t="s">
        <v>748</v>
      </c>
      <c r="B12" s="11">
        <f>'[3]16)税金预算表'!B12+'[4]16)税金预算表'!B12+'[5]16)税金预算表'!B12</f>
        <v>0</v>
      </c>
      <c r="C12" s="11">
        <f>'[3]16)税金预算表'!C12+'[4]16)税金预算表'!C12+'[5]16)税金预算表'!C12</f>
        <v>0</v>
      </c>
      <c r="D12" s="11">
        <f>B12+C12</f>
        <v>0</v>
      </c>
      <c r="E12" s="11">
        <f t="shared" si="1"/>
        <v>0</v>
      </c>
      <c r="F12" s="11">
        <f>'[3]16)税金预算表'!F12+'[4]16)税金预算表'!F12+'[5]16)税金预算表'!F12</f>
        <v>0</v>
      </c>
      <c r="G12" s="11">
        <f>'[3]16)税金预算表'!G12+'[4]16)税金预算表'!G12+'[5]16)税金预算表'!G12</f>
        <v>0</v>
      </c>
      <c r="H12" s="11">
        <f>'[3]16)税金预算表'!H12+'[4]16)税金预算表'!H12+'[5]16)税金预算表'!H12</f>
        <v>0</v>
      </c>
      <c r="I12" s="11">
        <f>'[3]16)税金预算表'!I12+'[4]16)税金预算表'!I12+'[5]16)税金预算表'!I12</f>
        <v>0</v>
      </c>
      <c r="J12" s="5"/>
    </row>
    <row r="13" spans="1:10" ht="18" customHeight="1">
      <c r="A13" s="25" t="s">
        <v>749</v>
      </c>
      <c r="B13" s="11">
        <f>'[3]16)税金预算表'!B13+'[4]16)税金预算表'!B13+'[5]16)税金预算表'!B13</f>
        <v>0</v>
      </c>
      <c r="C13" s="11">
        <f>'[3]16)税金预算表'!C13+'[4]16)税金预算表'!C13+'[5]16)税金预算表'!C13</f>
        <v>0</v>
      </c>
      <c r="D13" s="11">
        <f>B13+C13</f>
        <v>0</v>
      </c>
      <c r="E13" s="11">
        <f t="shared" si="1"/>
        <v>0</v>
      </c>
      <c r="F13" s="11">
        <f>'[3]16)税金预算表'!F13+'[4]16)税金预算表'!F13+'[5]16)税金预算表'!F13</f>
        <v>0</v>
      </c>
      <c r="G13" s="11">
        <f>'[3]16)税金预算表'!G13+'[4]16)税金预算表'!G13+'[5]16)税金预算表'!G13</f>
        <v>0</v>
      </c>
      <c r="H13" s="11">
        <f>'[3]16)税金预算表'!H13+'[4]16)税金预算表'!H13+'[5]16)税金预算表'!H13</f>
        <v>0</v>
      </c>
      <c r="I13" s="11">
        <f>'[3]16)税金预算表'!I13+'[4]16)税金预算表'!I13+'[5]16)税金预算表'!I13</f>
        <v>0</v>
      </c>
      <c r="J13" s="5"/>
    </row>
    <row r="14" spans="1:10" ht="18" customHeight="1">
      <c r="A14" s="25" t="s">
        <v>750</v>
      </c>
      <c r="B14" s="11">
        <f>B11+B12-B13</f>
        <v>0</v>
      </c>
      <c r="C14" s="11">
        <f aca="true" t="shared" si="2" ref="B14:I14">C11+C12-C13</f>
        <v>0</v>
      </c>
      <c r="D14" s="11">
        <f t="shared" si="2"/>
        <v>0</v>
      </c>
      <c r="E14" s="11">
        <f t="shared" si="2"/>
        <v>0</v>
      </c>
      <c r="F14" s="11">
        <f t="shared" si="2"/>
        <v>0</v>
      </c>
      <c r="G14" s="11">
        <f t="shared" si="2"/>
        <v>0</v>
      </c>
      <c r="H14" s="11">
        <f t="shared" si="2"/>
        <v>0</v>
      </c>
      <c r="I14" s="11">
        <f t="shared" si="2"/>
        <v>0</v>
      </c>
      <c r="J14" s="5"/>
    </row>
    <row r="15" spans="1:10" ht="18" customHeight="1">
      <c r="A15" s="25" t="s">
        <v>752</v>
      </c>
      <c r="B15" s="21" t="s">
        <v>530</v>
      </c>
      <c r="C15" s="95" t="s">
        <v>530</v>
      </c>
      <c r="D15" s="95" t="s">
        <v>530</v>
      </c>
      <c r="E15" s="95" t="s">
        <v>530</v>
      </c>
      <c r="F15" s="21" t="s">
        <v>530</v>
      </c>
      <c r="G15" s="21" t="s">
        <v>530</v>
      </c>
      <c r="H15" s="21" t="s">
        <v>530</v>
      </c>
      <c r="I15" s="21" t="s">
        <v>530</v>
      </c>
      <c r="J15" s="5"/>
    </row>
    <row r="16" spans="1:10" ht="18" customHeight="1">
      <c r="A16" s="25" t="s">
        <v>747</v>
      </c>
      <c r="B16" s="11">
        <f>'[3]16)税金预算表'!B16+'[4]16)税金预算表'!B16+'[5]16)税金预算表'!B16</f>
        <v>0</v>
      </c>
      <c r="C16" s="11">
        <f>'[3]16)税金预算表'!C16+'[4]16)税金预算表'!C16+'[5]16)税金预算表'!C16</f>
        <v>0</v>
      </c>
      <c r="D16" s="26">
        <f>B16+C16</f>
        <v>0</v>
      </c>
      <c r="E16" s="26">
        <f t="shared" si="1"/>
        <v>0</v>
      </c>
      <c r="F16" s="26">
        <f>D19</f>
        <v>0</v>
      </c>
      <c r="G16" s="26">
        <f aca="true" t="shared" si="3" ref="C16:I16">F19</f>
        <v>0</v>
      </c>
      <c r="H16" s="26">
        <f t="shared" si="3"/>
        <v>0</v>
      </c>
      <c r="I16" s="26">
        <f t="shared" si="3"/>
        <v>0</v>
      </c>
      <c r="J16" s="5"/>
    </row>
    <row r="17" spans="1:10" ht="18" customHeight="1">
      <c r="A17" s="25" t="s">
        <v>748</v>
      </c>
      <c r="B17" s="11">
        <f>'[3]16)税金预算表'!B17+'[4]16)税金预算表'!B17+'[5]16)税金预算表'!B17</f>
        <v>0</v>
      </c>
      <c r="C17" s="11">
        <f>'[3]16)税金预算表'!C17+'[4]16)税金预算表'!C17+'[5]16)税金预算表'!C17</f>
        <v>0</v>
      </c>
      <c r="D17" s="11">
        <f>B17+C17</f>
        <v>0</v>
      </c>
      <c r="E17" s="11">
        <f t="shared" si="1"/>
        <v>0</v>
      </c>
      <c r="F17" s="11">
        <f>'[3]16)税金预算表'!F17+'[4]16)税金预算表'!F17+'[5]16)税金预算表'!F17</f>
        <v>0</v>
      </c>
      <c r="G17" s="11">
        <f>'[3]16)税金预算表'!G17+'[4]16)税金预算表'!G17+'[5]16)税金预算表'!G17</f>
        <v>0</v>
      </c>
      <c r="H17" s="11">
        <f>'[3]16)税金预算表'!H17+'[4]16)税金预算表'!H17+'[5]16)税金预算表'!H17</f>
        <v>0</v>
      </c>
      <c r="I17" s="11">
        <f>'[3]16)税金预算表'!I17+'[4]16)税金预算表'!I17+'[5]16)税金预算表'!I17</f>
        <v>0</v>
      </c>
      <c r="J17" s="5"/>
    </row>
    <row r="18" spans="1:10" ht="18" customHeight="1">
      <c r="A18" s="25" t="s">
        <v>749</v>
      </c>
      <c r="B18" s="11">
        <f>'[3]16)税金预算表'!B18+'[4]16)税金预算表'!B18+'[5]16)税金预算表'!B18</f>
        <v>0</v>
      </c>
      <c r="C18" s="11">
        <f>'[3]16)税金预算表'!C18+'[4]16)税金预算表'!C18+'[5]16)税金预算表'!C18</f>
        <v>0</v>
      </c>
      <c r="D18" s="11">
        <f>B18+C18</f>
        <v>0</v>
      </c>
      <c r="E18" s="11">
        <f t="shared" si="1"/>
        <v>0</v>
      </c>
      <c r="F18" s="11">
        <f>'[3]16)税金预算表'!F18+'[4]16)税金预算表'!F18+'[5]16)税金预算表'!F18</f>
        <v>0</v>
      </c>
      <c r="G18" s="11">
        <f>'[3]16)税金预算表'!G18+'[4]16)税金预算表'!G18+'[5]16)税金预算表'!G18</f>
        <v>0</v>
      </c>
      <c r="H18" s="11">
        <f>'[3]16)税金预算表'!H18+'[4]16)税金预算表'!H18+'[5]16)税金预算表'!H18</f>
        <v>0</v>
      </c>
      <c r="I18" s="11">
        <f>'[3]16)税金预算表'!I18+'[4]16)税金预算表'!I18+'[5]16)税金预算表'!I18</f>
        <v>0</v>
      </c>
      <c r="J18" s="5"/>
    </row>
    <row r="19" spans="1:10" ht="18" customHeight="1">
      <c r="A19" s="25" t="s">
        <v>750</v>
      </c>
      <c r="B19" s="11">
        <f>B16+B17-B18</f>
        <v>0</v>
      </c>
      <c r="C19" s="11">
        <f aca="true" t="shared" si="4" ref="B19:I19">C16+C17-C18</f>
        <v>0</v>
      </c>
      <c r="D19" s="11">
        <f t="shared" si="4"/>
        <v>0</v>
      </c>
      <c r="E19" s="11">
        <f t="shared" si="4"/>
        <v>0</v>
      </c>
      <c r="F19" s="11">
        <f t="shared" si="4"/>
        <v>0</v>
      </c>
      <c r="G19" s="11">
        <f t="shared" si="4"/>
        <v>0</v>
      </c>
      <c r="H19" s="11">
        <f t="shared" si="4"/>
        <v>0</v>
      </c>
      <c r="I19" s="11">
        <f t="shared" si="4"/>
        <v>0</v>
      </c>
      <c r="J19" s="5"/>
    </row>
    <row r="20" spans="1:10" ht="18" customHeight="1">
      <c r="A20" s="25" t="s">
        <v>753</v>
      </c>
      <c r="B20" s="21" t="s">
        <v>530</v>
      </c>
      <c r="C20" s="95" t="s">
        <v>530</v>
      </c>
      <c r="D20" s="95" t="s">
        <v>530</v>
      </c>
      <c r="E20" s="95" t="s">
        <v>530</v>
      </c>
      <c r="F20" s="21" t="s">
        <v>530</v>
      </c>
      <c r="G20" s="21" t="s">
        <v>530</v>
      </c>
      <c r="H20" s="21" t="s">
        <v>530</v>
      </c>
      <c r="I20" s="21" t="s">
        <v>530</v>
      </c>
      <c r="J20" s="5"/>
    </row>
    <row r="21" spans="1:10" ht="18" customHeight="1">
      <c r="A21" s="25" t="s">
        <v>747</v>
      </c>
      <c r="B21" s="11">
        <f>'[3]16)税金预算表'!B21+'[4]16)税金预算表'!B21+'[5]16)税金预算表'!B21</f>
        <v>95.37</v>
      </c>
      <c r="C21" s="11">
        <f>'[3]16)税金预算表'!C21+'[4]16)税金预算表'!C21+'[5]16)税金预算表'!C21</f>
        <v>9353.61</v>
      </c>
      <c r="D21" s="26">
        <f>B21</f>
        <v>95.37</v>
      </c>
      <c r="E21" s="26">
        <f>SUM(F21:I21)</f>
        <v>77607.3203990907</v>
      </c>
      <c r="F21" s="26">
        <f>D24</f>
        <v>10238.61</v>
      </c>
      <c r="G21" s="26">
        <f aca="true" t="shared" si="5" ref="C21:I21">F24</f>
        <v>21630.523010943398</v>
      </c>
      <c r="H21" s="26">
        <f t="shared" si="5"/>
        <v>23171.29910846806</v>
      </c>
      <c r="I21" s="26">
        <f t="shared" si="5"/>
        <v>22566.888279679246</v>
      </c>
      <c r="J21" s="5"/>
    </row>
    <row r="22" spans="1:10" ht="18" customHeight="1">
      <c r="A22" s="25" t="s">
        <v>748</v>
      </c>
      <c r="B22" s="11">
        <f>'[3]16)税金预算表'!B22+'[4]16)税金预算表'!B22+'[5]16)税金预算表'!B22</f>
        <v>45420.02</v>
      </c>
      <c r="C22" s="11">
        <f>'[3]16)税金预算表'!C22+'[4]16)税金预算表'!C22+'[5]16)税金预算表'!C22</f>
        <v>12771.791700000002</v>
      </c>
      <c r="D22" s="11">
        <f>B22+C22</f>
        <v>58191.8117</v>
      </c>
      <c r="E22" s="11">
        <f>SUM(F22:I22)</f>
        <v>89844.75765576995</v>
      </c>
      <c r="F22" s="11">
        <f>'[3]16)税金预算表'!F22+'[4]16)税金预算表'!F22+'[5]16)税金预算表'!F22</f>
        <v>21630.523010943398</v>
      </c>
      <c r="G22" s="11">
        <f>'[3]16)税金预算表'!G22+'[4]16)税金预算表'!G22+'[5]16)税金预算表'!G22</f>
        <v>23171.29910846806</v>
      </c>
      <c r="H22" s="11">
        <f>'[3]16)税金预算表'!H22+'[4]16)税金预算表'!H22+'[5]16)税金预算表'!H22</f>
        <v>22566.888279679246</v>
      </c>
      <c r="I22" s="11">
        <f>'[3]16)税金预算表'!I22+'[4]16)税金预算表'!I22+'[5]16)税金预算表'!I22</f>
        <v>22476.047256679245</v>
      </c>
      <c r="J22" s="5"/>
    </row>
    <row r="23" spans="1:10" ht="18" customHeight="1">
      <c r="A23" s="25" t="s">
        <v>749</v>
      </c>
      <c r="B23" s="11">
        <f>'[3]16)税金预算表'!B23+'[4]16)税金预算表'!B23+'[5]16)税金预算表'!B23</f>
        <v>36161.78</v>
      </c>
      <c r="C23" s="11">
        <f>'[3]16)税金预算表'!C23+'[4]16)税金预算表'!C23+'[5]16)税金预算表'!C23</f>
        <v>11886.791700000002</v>
      </c>
      <c r="D23" s="11">
        <f>B23+C23</f>
        <v>48048.5717</v>
      </c>
      <c r="E23" s="11">
        <f>SUM(F23:I23)</f>
        <v>77607.3203990907</v>
      </c>
      <c r="F23" s="11">
        <f>'[3]16)税金预算表'!F23+'[4]16)税金预算表'!F23+'[5]16)税金预算表'!F23</f>
        <v>10238.61</v>
      </c>
      <c r="G23" s="11">
        <f>'[3]16)税金预算表'!G23+'[4]16)税金预算表'!G23+'[5]16)税金预算表'!G23</f>
        <v>21630.523010943398</v>
      </c>
      <c r="H23" s="11">
        <f>'[3]16)税金预算表'!H23+'[4]16)税金预算表'!H23+'[5]16)税金预算表'!H23</f>
        <v>23171.29910846806</v>
      </c>
      <c r="I23" s="11">
        <f>'[3]16)税金预算表'!I23+'[4]16)税金预算表'!I23+'[5]16)税金预算表'!I23</f>
        <v>22566.888279679246</v>
      </c>
      <c r="J23" s="5"/>
    </row>
    <row r="24" spans="1:10" ht="18" customHeight="1">
      <c r="A24" s="25" t="s">
        <v>750</v>
      </c>
      <c r="B24" s="11">
        <f>B21+B22-B23</f>
        <v>9353.61</v>
      </c>
      <c r="C24" s="11">
        <f aca="true" t="shared" si="6" ref="B24:I24">C21+C22-C23</f>
        <v>10238.61</v>
      </c>
      <c r="D24" s="11">
        <f t="shared" si="6"/>
        <v>10238.61</v>
      </c>
      <c r="E24" s="11">
        <f t="shared" si="6"/>
        <v>89844.75765576994</v>
      </c>
      <c r="F24" s="11">
        <f t="shared" si="6"/>
        <v>21630.523010943398</v>
      </c>
      <c r="G24" s="11">
        <f t="shared" si="6"/>
        <v>23171.29910846806</v>
      </c>
      <c r="H24" s="11">
        <f t="shared" si="6"/>
        <v>22566.888279679246</v>
      </c>
      <c r="I24" s="11">
        <f t="shared" si="6"/>
        <v>22476.047256679245</v>
      </c>
      <c r="J24" s="5"/>
    </row>
    <row r="25" spans="1:10" ht="18" customHeight="1">
      <c r="A25" s="25" t="s">
        <v>754</v>
      </c>
      <c r="B25" s="21" t="s">
        <v>530</v>
      </c>
      <c r="C25" s="95" t="s">
        <v>530</v>
      </c>
      <c r="D25" s="95" t="s">
        <v>530</v>
      </c>
      <c r="E25" s="95" t="s">
        <v>530</v>
      </c>
      <c r="F25" s="21" t="s">
        <v>530</v>
      </c>
      <c r="G25" s="21" t="s">
        <v>530</v>
      </c>
      <c r="H25" s="21" t="s">
        <v>530</v>
      </c>
      <c r="I25" s="21" t="s">
        <v>530</v>
      </c>
      <c r="J25" s="5"/>
    </row>
    <row r="26" spans="1:10" ht="18" customHeight="1">
      <c r="A26" s="25" t="s">
        <v>747</v>
      </c>
      <c r="B26" s="11">
        <f>'[3]16)税金预算表'!B26+'[4]16)税金预算表'!B26+'[5]16)税金预算表'!B26</f>
        <v>68.12</v>
      </c>
      <c r="C26" s="11">
        <f>'[3]16)税金预算表'!C26+'[4]16)税金预算表'!C26+'[5]16)税金预算表'!C26</f>
        <v>6681.149999999998</v>
      </c>
      <c r="D26" s="26">
        <f>B26</f>
        <v>68.12</v>
      </c>
      <c r="E26" s="26">
        <f>SUM(F26:I26)</f>
        <v>47627.00621207287</v>
      </c>
      <c r="F26" s="26">
        <f>D29</f>
        <v>7566.1500000000015</v>
      </c>
      <c r="G26" s="26">
        <f aca="true" t="shared" si="7" ref="C26:I26">F29</f>
        <v>12666.450562641508</v>
      </c>
      <c r="H26" s="26">
        <f t="shared" si="7"/>
        <v>13921.736019903063</v>
      </c>
      <c r="I26" s="26">
        <f t="shared" si="7"/>
        <v>13472.669629528296</v>
      </c>
      <c r="J26" s="5"/>
    </row>
    <row r="27" spans="1:10" ht="18" customHeight="1">
      <c r="A27" s="25" t="s">
        <v>748</v>
      </c>
      <c r="B27" s="11">
        <f>'[3]16)税金预算表'!B27+'[4]16)税金预算表'!B27+'[5]16)税金预算表'!B27</f>
        <v>34173.69</v>
      </c>
      <c r="C27" s="11">
        <f>'[3]16)税金预算表'!C27+'[4]16)税金预算表'!C27+'[5]16)税金预算表'!C27</f>
        <v>9375.5655</v>
      </c>
      <c r="D27" s="11">
        <f>B27+C27</f>
        <v>43549.2555</v>
      </c>
      <c r="E27" s="11">
        <f>SUM(F27:I27)</f>
        <v>53460.488996601176</v>
      </c>
      <c r="F27" s="11">
        <f>'[3]16)税金预算表'!F27+'[4]16)税金预算表'!F27+'[5]16)税金预算表'!F27</f>
        <v>12666.450562641508</v>
      </c>
      <c r="G27" s="11">
        <f>'[3]16)税金预算表'!G27+'[4]16)税金预算表'!G27+'[5]16)税金预算表'!G27</f>
        <v>13921.736019903063</v>
      </c>
      <c r="H27" s="11">
        <f>'[3]16)税金预算表'!H27+'[4]16)税金预算表'!H27+'[5]16)税金预算表'!H27</f>
        <v>13472.669629528302</v>
      </c>
      <c r="I27" s="11">
        <f>'[3]16)税金预算表'!I27+'[4]16)税金预算表'!I27+'[5]16)税金预算表'!I27</f>
        <v>13399.6327845283</v>
      </c>
      <c r="J27" s="5"/>
    </row>
    <row r="28" spans="1:10" ht="18" customHeight="1">
      <c r="A28" s="25" t="s">
        <v>749</v>
      </c>
      <c r="B28" s="11">
        <f>'[3]16)税金预算表'!B28+'[4]16)税金预算表'!B28+'[5]16)税金预算表'!B28</f>
        <v>27560.66</v>
      </c>
      <c r="C28" s="11">
        <f>'[3]16)税金预算表'!C28+'[4]16)税金预算表'!C28+'[5]16)税金预算表'!C28</f>
        <v>8490.5655</v>
      </c>
      <c r="D28" s="11">
        <f>B28+C28</f>
        <v>36051.2255</v>
      </c>
      <c r="E28" s="11">
        <f>SUM(F28:I28)</f>
        <v>47627.00621207288</v>
      </c>
      <c r="F28" s="11">
        <f>'[3]16)税金预算表'!F28+'[4]16)税金预算表'!F28+'[5]16)税金预算表'!F28</f>
        <v>7566.150000000001</v>
      </c>
      <c r="G28" s="11">
        <f>'[3]16)税金预算表'!G28+'[4]16)税金预算表'!G28+'[5]16)税金预算表'!G28</f>
        <v>12666.450562641508</v>
      </c>
      <c r="H28" s="11">
        <f>'[3]16)税金预算表'!H28+'[4]16)税金预算表'!H28+'[5]16)税金预算表'!H28</f>
        <v>13921.736019903066</v>
      </c>
      <c r="I28" s="11">
        <f>'[3]16)税金预算表'!I28+'[4]16)税金预算表'!I28+'[5]16)税金预算表'!I28</f>
        <v>13472.669629528304</v>
      </c>
      <c r="J28" s="5"/>
    </row>
    <row r="29" spans="1:10" ht="18" customHeight="1">
      <c r="A29" s="25" t="s">
        <v>750</v>
      </c>
      <c r="B29" s="11">
        <f>B26+B27-B28</f>
        <v>6681.150000000005</v>
      </c>
      <c r="C29" s="11">
        <f aca="true" t="shared" si="8" ref="B29:I29">C26+C27-C28</f>
        <v>7566.149999999998</v>
      </c>
      <c r="D29" s="11">
        <f t="shared" si="8"/>
        <v>7566.1500000000015</v>
      </c>
      <c r="E29" s="11">
        <f t="shared" si="8"/>
        <v>53460.48899660117</v>
      </c>
      <c r="F29" s="11">
        <f t="shared" si="8"/>
        <v>12666.450562641508</v>
      </c>
      <c r="G29" s="11">
        <f t="shared" si="8"/>
        <v>13921.736019903063</v>
      </c>
      <c r="H29" s="11">
        <f t="shared" si="8"/>
        <v>13472.669629528296</v>
      </c>
      <c r="I29" s="11">
        <f t="shared" si="8"/>
        <v>13399.632784528294</v>
      </c>
      <c r="J29" s="5"/>
    </row>
    <row r="30" spans="1:10" ht="15.75" customHeight="1">
      <c r="A30" s="25" t="s">
        <v>755</v>
      </c>
      <c r="B30" s="21" t="s">
        <v>530</v>
      </c>
      <c r="C30" s="95" t="s">
        <v>530</v>
      </c>
      <c r="D30" s="95" t="s">
        <v>530</v>
      </c>
      <c r="E30" s="95" t="s">
        <v>530</v>
      </c>
      <c r="F30" s="21" t="s">
        <v>530</v>
      </c>
      <c r="G30" s="21" t="s">
        <v>530</v>
      </c>
      <c r="H30" s="21" t="s">
        <v>530</v>
      </c>
      <c r="I30" s="21" t="s">
        <v>530</v>
      </c>
      <c r="J30" s="5"/>
    </row>
    <row r="31" spans="1:10" ht="15.75" customHeight="1">
      <c r="A31" s="25" t="s">
        <v>747</v>
      </c>
      <c r="B31" s="11">
        <f>'[3]16)税金预算表'!B31+'[4]16)税金预算表'!B31+'[5]16)税金预算表'!B31</f>
        <v>3908.5</v>
      </c>
      <c r="C31" s="11">
        <f>'[3]16)税金预算表'!C31+'[4]16)税金预算表'!C31+'[5]16)税金预算表'!C31</f>
        <v>3908.5</v>
      </c>
      <c r="D31" s="26">
        <f>B31</f>
        <v>3908.5</v>
      </c>
      <c r="E31" s="26">
        <f>SUM(F31:I31)</f>
        <v>15634</v>
      </c>
      <c r="F31" s="26">
        <f>D34</f>
        <v>3908.5</v>
      </c>
      <c r="G31" s="26">
        <f aca="true" t="shared" si="9" ref="C31:I31">F34</f>
        <v>3908.5</v>
      </c>
      <c r="H31" s="26">
        <f t="shared" si="9"/>
        <v>3908.5</v>
      </c>
      <c r="I31" s="26">
        <f t="shared" si="9"/>
        <v>3908.5</v>
      </c>
      <c r="J31" s="5"/>
    </row>
    <row r="32" spans="1:10" ht="15.75" customHeight="1">
      <c r="A32" s="25" t="s">
        <v>748</v>
      </c>
      <c r="B32" s="11">
        <f>'[3]16)税金预算表'!B32+'[4]16)税金预算表'!B32+'[5]16)税金预算表'!B32</f>
        <v>11725.5</v>
      </c>
      <c r="C32" s="11">
        <f>'[3]16)税金预算表'!C32+'[4]16)税金预算表'!C32+'[5]16)税金预算表'!C32</f>
        <v>3908.5</v>
      </c>
      <c r="D32" s="11">
        <f>B32+C32</f>
        <v>15634</v>
      </c>
      <c r="E32" s="11">
        <f>SUM(F32:I32)</f>
        <v>15634</v>
      </c>
      <c r="F32" s="11">
        <f>'[3]16)税金预算表'!F32+'[4]16)税金预算表'!F32+'[5]16)税金预算表'!F32</f>
        <v>3908.5</v>
      </c>
      <c r="G32" s="11">
        <f>'[3]16)税金预算表'!G32+'[4]16)税金预算表'!G32+'[5]16)税金预算表'!G32</f>
        <v>3908.5</v>
      </c>
      <c r="H32" s="11">
        <f>'[3]16)税金预算表'!H32+'[4]16)税金预算表'!H32+'[5]16)税金预算表'!H32</f>
        <v>3908.5</v>
      </c>
      <c r="I32" s="11">
        <f>'[3]16)税金预算表'!I32+'[4]16)税金预算表'!I32+'[5]16)税金预算表'!I32</f>
        <v>3908.5</v>
      </c>
      <c r="J32" s="5"/>
    </row>
    <row r="33" spans="1:10" ht="15.75" customHeight="1">
      <c r="A33" s="25" t="s">
        <v>749</v>
      </c>
      <c r="B33" s="11">
        <f>'[3]16)税金预算表'!B33+'[4]16)税金预算表'!B33+'[5]16)税金预算表'!B33</f>
        <v>11725.5</v>
      </c>
      <c r="C33" s="11">
        <f>'[3]16)税金预算表'!C33+'[4]16)税金预算表'!C33+'[5]16)税金预算表'!C33</f>
        <v>3908.5</v>
      </c>
      <c r="D33" s="11">
        <f>B33+C33</f>
        <v>15634</v>
      </c>
      <c r="E33" s="11">
        <f>SUM(F33:I33)</f>
        <v>15634</v>
      </c>
      <c r="F33" s="11">
        <f>'[3]16)税金预算表'!F33+'[4]16)税金预算表'!F33+'[5]16)税金预算表'!F33</f>
        <v>3908.5</v>
      </c>
      <c r="G33" s="11">
        <f>'[3]16)税金预算表'!G33+'[4]16)税金预算表'!G33+'[5]16)税金预算表'!G33</f>
        <v>3908.5</v>
      </c>
      <c r="H33" s="11">
        <f>'[3]16)税金预算表'!H33+'[4]16)税金预算表'!H33+'[5]16)税金预算表'!H33</f>
        <v>3908.5</v>
      </c>
      <c r="I33" s="11">
        <f>'[3]16)税金预算表'!I33+'[4]16)税金预算表'!I33+'[5]16)税金预算表'!I33</f>
        <v>3908.5</v>
      </c>
      <c r="J33" s="5"/>
    </row>
    <row r="34" spans="1:10" ht="15.75" customHeight="1">
      <c r="A34" s="25" t="s">
        <v>750</v>
      </c>
      <c r="B34" s="11">
        <f>B31+B32-B33</f>
        <v>3908.5</v>
      </c>
      <c r="C34" s="11">
        <f aca="true" t="shared" si="10" ref="B34:I34">C31+C32-C33</f>
        <v>3908.5</v>
      </c>
      <c r="D34" s="11">
        <f t="shared" si="10"/>
        <v>3908.5</v>
      </c>
      <c r="E34" s="11">
        <f t="shared" si="10"/>
        <v>15634</v>
      </c>
      <c r="F34" s="11">
        <f t="shared" si="10"/>
        <v>3908.5</v>
      </c>
      <c r="G34" s="11">
        <f t="shared" si="10"/>
        <v>3908.5</v>
      </c>
      <c r="H34" s="11">
        <f t="shared" si="10"/>
        <v>3908.5</v>
      </c>
      <c r="I34" s="11">
        <f t="shared" si="10"/>
        <v>3908.5</v>
      </c>
      <c r="J34" s="5"/>
    </row>
    <row r="35" spans="1:10" ht="15.75" customHeight="1">
      <c r="A35" s="25" t="s">
        <v>756</v>
      </c>
      <c r="B35" s="21" t="s">
        <v>530</v>
      </c>
      <c r="C35" s="95" t="s">
        <v>530</v>
      </c>
      <c r="D35" s="95" t="s">
        <v>530</v>
      </c>
      <c r="E35" s="95" t="s">
        <v>530</v>
      </c>
      <c r="F35" s="21" t="s">
        <v>530</v>
      </c>
      <c r="G35" s="21" t="s">
        <v>530</v>
      </c>
      <c r="H35" s="21" t="s">
        <v>530</v>
      </c>
      <c r="I35" s="21" t="s">
        <v>530</v>
      </c>
      <c r="J35" s="5"/>
    </row>
    <row r="36" spans="1:10" ht="15.75" customHeight="1">
      <c r="A36" s="25" t="s">
        <v>747</v>
      </c>
      <c r="B36" s="11">
        <f>'[3]16)税金预算表'!B36+'[4]16)税金预算表'!B36+'[5]16)税金预算表'!B36</f>
        <v>0</v>
      </c>
      <c r="C36" s="11">
        <f>'[3]16)税金预算表'!C36+'[4]16)税金预算表'!C36+'[5]16)税金预算表'!C36</f>
        <v>0</v>
      </c>
      <c r="D36" s="26">
        <f>B36</f>
        <v>0</v>
      </c>
      <c r="E36" s="26">
        <f>SUM(F36:I36)</f>
        <v>0</v>
      </c>
      <c r="F36" s="26">
        <f>D39</f>
        <v>0</v>
      </c>
      <c r="G36" s="26">
        <f aca="true" t="shared" si="11" ref="C36:I36">F39</f>
        <v>0</v>
      </c>
      <c r="H36" s="26">
        <f t="shared" si="11"/>
        <v>0</v>
      </c>
      <c r="I36" s="26">
        <f t="shared" si="11"/>
        <v>0</v>
      </c>
      <c r="J36" s="5"/>
    </row>
    <row r="37" spans="1:10" ht="15.75" customHeight="1">
      <c r="A37" s="25" t="s">
        <v>748</v>
      </c>
      <c r="B37" s="11">
        <f>'[3]16)税金预算表'!B37+'[4]16)税金预算表'!B37+'[5]16)税金预算表'!B37</f>
        <v>0</v>
      </c>
      <c r="C37" s="11">
        <f>'[3]16)税金预算表'!C37+'[4]16)税金预算表'!C37+'[5]16)税金预算表'!C37</f>
        <v>0</v>
      </c>
      <c r="D37" s="11">
        <f>B37+C37</f>
        <v>0</v>
      </c>
      <c r="E37" s="11">
        <f>SUM(F37:I37)</f>
        <v>0</v>
      </c>
      <c r="F37" s="11">
        <f>'[3]16)税金预算表'!F37+'[4]16)税金预算表'!F37+'[5]16)税金预算表'!F37</f>
        <v>0</v>
      </c>
      <c r="G37" s="11">
        <f>'[3]16)税金预算表'!G37+'[4]16)税金预算表'!G37+'[5]16)税金预算表'!G37</f>
        <v>0</v>
      </c>
      <c r="H37" s="11">
        <f>'[3]16)税金预算表'!H37+'[4]16)税金预算表'!H37+'[5]16)税金预算表'!H37</f>
        <v>0</v>
      </c>
      <c r="I37" s="11">
        <f>'[3]16)税金预算表'!I37+'[4]16)税金预算表'!I37+'[5]16)税金预算表'!I37</f>
        <v>0</v>
      </c>
      <c r="J37" s="5"/>
    </row>
    <row r="38" spans="1:10" ht="15.75" customHeight="1">
      <c r="A38" s="25" t="s">
        <v>749</v>
      </c>
      <c r="B38" s="11">
        <f>'[3]16)税金预算表'!B38+'[4]16)税金预算表'!B38+'[5]16)税金预算表'!B38</f>
        <v>0</v>
      </c>
      <c r="C38" s="11">
        <f>'[3]16)税金预算表'!C38+'[4]16)税金预算表'!C38+'[5]16)税金预算表'!C38</f>
        <v>0</v>
      </c>
      <c r="D38" s="11">
        <f>B38+C38</f>
        <v>0</v>
      </c>
      <c r="E38" s="11">
        <f>SUM(F38:I38)</f>
        <v>0</v>
      </c>
      <c r="F38" s="11">
        <f>'[3]16)税金预算表'!F38+'[4]16)税金预算表'!F38+'[5]16)税金预算表'!F38</f>
        <v>0</v>
      </c>
      <c r="G38" s="11">
        <f>'[3]16)税金预算表'!G38+'[4]16)税金预算表'!G38+'[5]16)税金预算表'!G38</f>
        <v>0</v>
      </c>
      <c r="H38" s="11">
        <f>'[3]16)税金预算表'!H38+'[4]16)税金预算表'!H38+'[5]16)税金预算表'!H38</f>
        <v>0</v>
      </c>
      <c r="I38" s="11">
        <f>'[3]16)税金预算表'!I38+'[4]16)税金预算表'!I38+'[5]16)税金预算表'!I38</f>
        <v>0</v>
      </c>
      <c r="J38" s="5"/>
    </row>
    <row r="39" spans="1:10" ht="15.75" customHeight="1">
      <c r="A39" s="25" t="s">
        <v>750</v>
      </c>
      <c r="B39" s="11">
        <f>B36+B37-B38</f>
        <v>0</v>
      </c>
      <c r="C39" s="11">
        <f aca="true" t="shared" si="12" ref="B39:I39">C36+C37-C38</f>
        <v>0</v>
      </c>
      <c r="D39" s="11">
        <f t="shared" si="12"/>
        <v>0</v>
      </c>
      <c r="E39" s="11">
        <f t="shared" si="12"/>
        <v>0</v>
      </c>
      <c r="F39" s="11">
        <f t="shared" si="12"/>
        <v>0</v>
      </c>
      <c r="G39" s="11">
        <f t="shared" si="12"/>
        <v>0</v>
      </c>
      <c r="H39" s="11">
        <f t="shared" si="12"/>
        <v>0</v>
      </c>
      <c r="I39" s="11">
        <f t="shared" si="12"/>
        <v>0</v>
      </c>
      <c r="J39" s="5"/>
    </row>
    <row r="40" spans="1:10" ht="15.75" customHeight="1">
      <c r="A40" s="25" t="s">
        <v>757</v>
      </c>
      <c r="B40" s="21" t="s">
        <v>530</v>
      </c>
      <c r="C40" s="95" t="s">
        <v>530</v>
      </c>
      <c r="D40" s="95" t="s">
        <v>530</v>
      </c>
      <c r="E40" s="95" t="s">
        <v>530</v>
      </c>
      <c r="F40" s="21" t="s">
        <v>530</v>
      </c>
      <c r="G40" s="21" t="s">
        <v>530</v>
      </c>
      <c r="H40" s="21" t="s">
        <v>530</v>
      </c>
      <c r="I40" s="21" t="s">
        <v>530</v>
      </c>
      <c r="J40" s="5"/>
    </row>
    <row r="41" spans="1:10" ht="15.75" customHeight="1">
      <c r="A41" s="25" t="s">
        <v>747</v>
      </c>
      <c r="B41" s="11">
        <f>'[3]16)税金预算表'!B41+'[4]16)税金预算表'!B41+'[5]16)税金预算表'!B41</f>
        <v>33855.26</v>
      </c>
      <c r="C41" s="11">
        <f>'[3]16)税金预算表'!C41+'[4]16)税金预算表'!C41+'[5]16)税金预算表'!C41</f>
        <v>33855.26000000001</v>
      </c>
      <c r="D41" s="26">
        <f>B41</f>
        <v>33855.26</v>
      </c>
      <c r="E41" s="26">
        <f>SUM(F41:I41)</f>
        <v>135421.04000000004</v>
      </c>
      <c r="F41" s="26">
        <f>D44</f>
        <v>33855.26000000001</v>
      </c>
      <c r="G41" s="26">
        <f aca="true" t="shared" si="13" ref="C41:I41">F44</f>
        <v>33855.26000000001</v>
      </c>
      <c r="H41" s="26">
        <f t="shared" si="13"/>
        <v>33855.26000000001</v>
      </c>
      <c r="I41" s="26">
        <f t="shared" si="13"/>
        <v>33855.26000000001</v>
      </c>
      <c r="J41" s="5"/>
    </row>
    <row r="42" spans="1:10" ht="15.75" customHeight="1">
      <c r="A42" s="25" t="s">
        <v>748</v>
      </c>
      <c r="B42" s="11">
        <f>'[3]16)税金预算表'!B42+'[4]16)税金预算表'!B42+'[5]16)税金预算表'!B42</f>
        <v>101565.78</v>
      </c>
      <c r="C42" s="11">
        <f>'[3]16)税金预算表'!C42+'[4]16)税金预算表'!C42+'[5]16)税金预算表'!C42</f>
        <v>33855.26</v>
      </c>
      <c r="D42" s="11">
        <f>B42+C42</f>
        <v>135421.04</v>
      </c>
      <c r="E42" s="11">
        <f>SUM(F42:I42)</f>
        <v>135421.04</v>
      </c>
      <c r="F42" s="11">
        <f>'[3]16)税金预算表'!F42+'[4]16)税金预算表'!F42+'[5]16)税金预算表'!F42</f>
        <v>33855.26</v>
      </c>
      <c r="G42" s="11">
        <f>'[3]16)税金预算表'!G42+'[4]16)税金预算表'!G42+'[5]16)税金预算表'!G42</f>
        <v>33855.26</v>
      </c>
      <c r="H42" s="11">
        <f>'[3]16)税金预算表'!H42+'[4]16)税金预算表'!H42+'[5]16)税金预算表'!H42</f>
        <v>33855.26</v>
      </c>
      <c r="I42" s="11">
        <f>'[3]16)税金预算表'!I42+'[4]16)税金预算表'!I42+'[5]16)税金预算表'!I42</f>
        <v>33855.26</v>
      </c>
      <c r="J42" s="5"/>
    </row>
    <row r="43" spans="1:10" ht="15.75" customHeight="1">
      <c r="A43" s="25" t="s">
        <v>749</v>
      </c>
      <c r="B43" s="11">
        <f>'[3]16)税金预算表'!B43+'[4]16)税金预算表'!B43+'[5]16)税金预算表'!B43</f>
        <v>101565.78</v>
      </c>
      <c r="C43" s="11">
        <f>'[3]16)税金预算表'!C43+'[4]16)税金预算表'!C43+'[5]16)税金预算表'!C43</f>
        <v>33855.26</v>
      </c>
      <c r="D43" s="11">
        <f>B43+C43</f>
        <v>135421.04</v>
      </c>
      <c r="E43" s="11">
        <f>SUM(F43:I43)</f>
        <v>135421.04000000004</v>
      </c>
      <c r="F43" s="11">
        <f>'[3]16)税金预算表'!F43+'[4]16)税金预算表'!F43+'[5]16)税金预算表'!F43</f>
        <v>33855.26000000001</v>
      </c>
      <c r="G43" s="11">
        <f>'[3]16)税金预算表'!G43+'[4]16)税金预算表'!G43+'[5]16)税金预算表'!G43</f>
        <v>33855.26000000001</v>
      </c>
      <c r="H43" s="11">
        <f>'[3]16)税金预算表'!H43+'[4]16)税金预算表'!H43+'[5]16)税金预算表'!H43</f>
        <v>33855.26000000001</v>
      </c>
      <c r="I43" s="11">
        <f>'[3]16)税金预算表'!I43+'[4]16)税金预算表'!I43+'[5]16)税金预算表'!I43</f>
        <v>33855.26000000001</v>
      </c>
      <c r="J43" s="5"/>
    </row>
    <row r="44" spans="1:10" ht="15.75" customHeight="1">
      <c r="A44" s="25" t="s">
        <v>750</v>
      </c>
      <c r="B44" s="11">
        <f>B41+B42-B43</f>
        <v>33855.26000000001</v>
      </c>
      <c r="C44" s="11">
        <f aca="true" t="shared" si="14" ref="B44:I44">C41+C42-C43</f>
        <v>33855.26000000002</v>
      </c>
      <c r="D44" s="11">
        <f t="shared" si="14"/>
        <v>33855.26000000001</v>
      </c>
      <c r="E44" s="11">
        <f t="shared" si="14"/>
        <v>135421.04000000004</v>
      </c>
      <c r="F44" s="11">
        <f t="shared" si="14"/>
        <v>33855.26000000001</v>
      </c>
      <c r="G44" s="11">
        <f t="shared" si="14"/>
        <v>33855.26000000001</v>
      </c>
      <c r="H44" s="11">
        <f t="shared" si="14"/>
        <v>33855.26000000001</v>
      </c>
      <c r="I44" s="11">
        <f t="shared" si="14"/>
        <v>33855.26000000001</v>
      </c>
      <c r="J44" s="5"/>
    </row>
    <row r="45" spans="1:10" ht="15.75" customHeight="1">
      <c r="A45" s="25" t="s">
        <v>758</v>
      </c>
      <c r="B45" s="21" t="s">
        <v>530</v>
      </c>
      <c r="C45" s="95" t="s">
        <v>530</v>
      </c>
      <c r="D45" s="95" t="s">
        <v>530</v>
      </c>
      <c r="E45" s="95" t="s">
        <v>530</v>
      </c>
      <c r="F45" s="21" t="s">
        <v>530</v>
      </c>
      <c r="G45" s="21" t="s">
        <v>530</v>
      </c>
      <c r="H45" s="21" t="s">
        <v>530</v>
      </c>
      <c r="I45" s="21" t="s">
        <v>530</v>
      </c>
      <c r="J45" s="5"/>
    </row>
    <row r="46" spans="1:10" ht="15.75" customHeight="1">
      <c r="A46" s="25" t="s">
        <v>747</v>
      </c>
      <c r="B46" s="11">
        <f>'[3]16)税金预算表'!B46+'[4]16)税金预算表'!B46+'[5]16)税金预算表'!B46</f>
        <v>0</v>
      </c>
      <c r="C46" s="11">
        <f>'[3]16)税金预算表'!C46+'[4]16)税金预算表'!C46+'[5]16)税金预算表'!C46</f>
        <v>0</v>
      </c>
      <c r="D46" s="26">
        <f>B46</f>
        <v>0</v>
      </c>
      <c r="E46" s="26">
        <f>SUM(F46:I46)</f>
        <v>0</v>
      </c>
      <c r="F46" s="26">
        <f>D49</f>
        <v>0</v>
      </c>
      <c r="G46" s="26">
        <f aca="true" t="shared" si="15" ref="C46:I46">F49</f>
        <v>0</v>
      </c>
      <c r="H46" s="26">
        <f t="shared" si="15"/>
        <v>0</v>
      </c>
      <c r="I46" s="26">
        <f t="shared" si="15"/>
        <v>0</v>
      </c>
      <c r="J46" s="5"/>
    </row>
    <row r="47" spans="1:10" ht="15.75" customHeight="1">
      <c r="A47" s="25" t="s">
        <v>748</v>
      </c>
      <c r="B47" s="11">
        <f>'[3]16)税金预算表'!B47+'[4]16)税金预算表'!B47+'[5]16)税金预算表'!B47</f>
        <v>0</v>
      </c>
      <c r="C47" s="11">
        <f>'[3]16)税金预算表'!C47+'[4]16)税金预算表'!C47+'[5]16)税金预算表'!C47</f>
        <v>0</v>
      </c>
      <c r="D47" s="11">
        <f>B47+C47</f>
        <v>0</v>
      </c>
      <c r="E47" s="11">
        <f>SUM(F47:I47)</f>
        <v>0</v>
      </c>
      <c r="F47" s="11">
        <f>'[3]16)税金预算表'!F47+'[4]16)税金预算表'!F47+'[5]16)税金预算表'!F47</f>
        <v>0</v>
      </c>
      <c r="G47" s="11">
        <f>'[3]16)税金预算表'!G47+'[4]16)税金预算表'!G47+'[5]16)税金预算表'!G47</f>
        <v>0</v>
      </c>
      <c r="H47" s="11">
        <f>'[3]16)税金预算表'!H47+'[4]16)税金预算表'!H47+'[5]16)税金预算表'!H47</f>
        <v>0</v>
      </c>
      <c r="I47" s="11">
        <f>'[3]16)税金预算表'!I47+'[4]16)税金预算表'!I47+'[5]16)税金预算表'!I47</f>
        <v>0</v>
      </c>
      <c r="J47" s="5"/>
    </row>
    <row r="48" spans="1:10" ht="15.75" customHeight="1">
      <c r="A48" s="25" t="s">
        <v>749</v>
      </c>
      <c r="B48" s="11">
        <f>'[3]16)税金预算表'!B48+'[4]16)税金预算表'!B48+'[5]16)税金预算表'!B48</f>
        <v>0</v>
      </c>
      <c r="C48" s="11">
        <f>'[3]16)税金预算表'!C48+'[4]16)税金预算表'!C48+'[5]16)税金预算表'!C48</f>
        <v>0</v>
      </c>
      <c r="D48" s="11">
        <f>B48+C48</f>
        <v>0</v>
      </c>
      <c r="E48" s="11">
        <f>SUM(F48:I48)</f>
        <v>0</v>
      </c>
      <c r="F48" s="11">
        <f>'[3]16)税金预算表'!F48+'[4]16)税金预算表'!F48+'[5]16)税金预算表'!F48</f>
        <v>0</v>
      </c>
      <c r="G48" s="11">
        <f>'[3]16)税金预算表'!G48+'[4]16)税金预算表'!G48+'[5]16)税金预算表'!G48</f>
        <v>0</v>
      </c>
      <c r="H48" s="11">
        <f>'[3]16)税金预算表'!H48+'[4]16)税金预算表'!H48+'[5]16)税金预算表'!H48</f>
        <v>0</v>
      </c>
      <c r="I48" s="11">
        <f>'[3]16)税金预算表'!I48+'[4]16)税金预算表'!I48+'[5]16)税金预算表'!I48</f>
        <v>0</v>
      </c>
      <c r="J48" s="5"/>
    </row>
    <row r="49" spans="1:10" ht="15.75" customHeight="1">
      <c r="A49" s="25" t="s">
        <v>750</v>
      </c>
      <c r="B49" s="11">
        <f>B46+B47-B48</f>
        <v>0</v>
      </c>
      <c r="C49" s="11">
        <f aca="true" t="shared" si="16" ref="B49:I49">C46+C47-C48</f>
        <v>0</v>
      </c>
      <c r="D49" s="11">
        <f t="shared" si="16"/>
        <v>0</v>
      </c>
      <c r="E49" s="11">
        <f t="shared" si="16"/>
        <v>0</v>
      </c>
      <c r="F49" s="11">
        <f t="shared" si="16"/>
        <v>0</v>
      </c>
      <c r="G49" s="11">
        <f t="shared" si="16"/>
        <v>0</v>
      </c>
      <c r="H49" s="11">
        <f t="shared" si="16"/>
        <v>0</v>
      </c>
      <c r="I49" s="11">
        <f t="shared" si="16"/>
        <v>0</v>
      </c>
      <c r="J49" s="5"/>
    </row>
    <row r="50" spans="1:10" ht="15.75" customHeight="1">
      <c r="A50" s="25" t="s">
        <v>759</v>
      </c>
      <c r="B50" s="21" t="s">
        <v>530</v>
      </c>
      <c r="C50" s="95" t="s">
        <v>530</v>
      </c>
      <c r="D50" s="95" t="s">
        <v>530</v>
      </c>
      <c r="E50" s="95" t="s">
        <v>530</v>
      </c>
      <c r="F50" s="21" t="s">
        <v>530</v>
      </c>
      <c r="G50" s="21" t="s">
        <v>530</v>
      </c>
      <c r="H50" s="21" t="s">
        <v>530</v>
      </c>
      <c r="I50" s="21" t="s">
        <v>530</v>
      </c>
      <c r="J50" s="5"/>
    </row>
    <row r="51" spans="1:10" ht="15.75" customHeight="1">
      <c r="A51" s="25" t="s">
        <v>747</v>
      </c>
      <c r="B51" s="11">
        <f>'[3]16)税金预算表'!B51+'[4]16)税金预算表'!B51+'[5]16)税金预算表'!B51</f>
        <v>342809.9</v>
      </c>
      <c r="C51" s="11">
        <f>'[3]16)税金预算表'!C51+'[4]16)税金预算表'!C51+'[5]16)税金预算表'!C51</f>
        <v>5612.369999999879</v>
      </c>
      <c r="D51" s="26">
        <f>B51</f>
        <v>342809.9</v>
      </c>
      <c r="E51" s="26">
        <f>SUM(F51:I51)</f>
        <v>5612.369999998948</v>
      </c>
      <c r="F51" s="26">
        <f>D54</f>
        <v>5612.369999999646</v>
      </c>
      <c r="G51" s="26">
        <f aca="true" t="shared" si="17" ref="C51:I51">F54</f>
        <v>-2.3283064365386963E-10</v>
      </c>
      <c r="H51" s="26">
        <f t="shared" si="17"/>
        <v>-2.3283064365386963E-10</v>
      </c>
      <c r="I51" s="26">
        <f t="shared" si="17"/>
        <v>-2.3283064365386963E-10</v>
      </c>
      <c r="J51" s="5"/>
    </row>
    <row r="52" spans="1:10" ht="15.75" customHeight="1">
      <c r="A52" s="25" t="s">
        <v>748</v>
      </c>
      <c r="B52" s="11">
        <f>'[3]16)税金预算表'!B52+'[4]16)税金预算表'!B52+'[5]16)税金预算表'!B52</f>
        <v>726844.69</v>
      </c>
      <c r="C52" s="11">
        <f>'[3]16)税金预算表'!C52+'[4]16)税金预算表'!C52+'[5]16)税金预算表'!C52</f>
        <v>0</v>
      </c>
      <c r="D52" s="11">
        <f>B52+C52</f>
        <v>726844.69</v>
      </c>
      <c r="E52" s="11">
        <f>SUM(F52:I52)</f>
        <v>574202.5265456877</v>
      </c>
      <c r="F52" s="11">
        <f>'[3]16)税金预算表'!F52+'[4]16)税金预算表'!F52+'[5]16)税金预算表'!F52</f>
        <v>0</v>
      </c>
      <c r="G52" s="11">
        <f>'[3]16)税金预算表'!G52+'[4]16)税金预算表'!G52+'[5]16)税金预算表'!G52</f>
        <v>0</v>
      </c>
      <c r="H52" s="11">
        <f>'[3]16)税金预算表'!H52+'[4]16)税金预算表'!H52+'[5]16)税金预算表'!H52</f>
        <v>0</v>
      </c>
      <c r="I52" s="11">
        <f>'[3]16)税金预算表'!I52+'[4]16)税金预算表'!I52+'[5]16)税金预算表'!I52</f>
        <v>574202.5265456877</v>
      </c>
      <c r="J52" s="5"/>
    </row>
    <row r="53" spans="1:10" ht="15.75" customHeight="1">
      <c r="A53" s="25" t="s">
        <v>749</v>
      </c>
      <c r="B53" s="11">
        <f>'[3]16)税金预算表'!B53+'[4]16)税金预算表'!B53+'[5]16)税金预算表'!B53</f>
        <v>1064042.2200000002</v>
      </c>
      <c r="C53" s="11">
        <f>'[3]16)税金预算表'!C53+'[4]16)税金预算表'!C53+'[5]16)税金预算表'!C53</f>
        <v>0</v>
      </c>
      <c r="D53" s="11">
        <f>B53+C53</f>
        <v>1064042.2200000002</v>
      </c>
      <c r="E53" s="11">
        <f>SUM(F53:I53)</f>
        <v>5612.369999999879</v>
      </c>
      <c r="F53" s="11">
        <f>'[3]16)税金预算表'!F53+'[4]16)税金预算表'!F53+'[5]16)税金预算表'!F53</f>
        <v>5612.369999999879</v>
      </c>
      <c r="G53" s="11">
        <f>'[3]16)税金预算表'!G53+'[4]16)税金预算表'!G53+'[5]16)税金预算表'!G53</f>
        <v>0</v>
      </c>
      <c r="H53" s="11">
        <f>'[3]16)税金预算表'!H53+'[4]16)税金预算表'!H53+'[5]16)税金预算表'!H53</f>
        <v>0</v>
      </c>
      <c r="I53" s="11">
        <f>'[3]16)税金预算表'!I53+'[4]16)税金预算表'!I53+'[5]16)税金预算表'!I53</f>
        <v>0</v>
      </c>
      <c r="J53" s="5"/>
    </row>
    <row r="54" spans="1:10" ht="15.75" customHeight="1">
      <c r="A54" s="25" t="s">
        <v>750</v>
      </c>
      <c r="B54" s="11">
        <f>B51+B52-B53</f>
        <v>5612.369999999646</v>
      </c>
      <c r="C54" s="11">
        <f aca="true" t="shared" si="18" ref="C54:I54">C51+C52-C53</f>
        <v>5612.369999999879</v>
      </c>
      <c r="D54" s="11">
        <f t="shared" si="18"/>
        <v>5612.369999999646</v>
      </c>
      <c r="E54" s="11">
        <f t="shared" si="18"/>
        <v>574202.5265456868</v>
      </c>
      <c r="F54" s="11">
        <f t="shared" si="18"/>
        <v>-2.3283064365386963E-10</v>
      </c>
      <c r="G54" s="11">
        <f t="shared" si="18"/>
        <v>-2.3283064365386963E-10</v>
      </c>
      <c r="H54" s="11">
        <f t="shared" si="18"/>
        <v>-2.3283064365386963E-10</v>
      </c>
      <c r="I54" s="11">
        <f t="shared" si="18"/>
        <v>574202.5265456875</v>
      </c>
      <c r="J54" s="5"/>
    </row>
    <row r="55" spans="1:10" ht="15.75" customHeight="1">
      <c r="A55" s="25" t="s">
        <v>760</v>
      </c>
      <c r="B55" s="21" t="s">
        <v>530</v>
      </c>
      <c r="C55" s="95" t="s">
        <v>530</v>
      </c>
      <c r="D55" s="95" t="s">
        <v>530</v>
      </c>
      <c r="E55" s="95" t="s">
        <v>530</v>
      </c>
      <c r="F55" s="21" t="s">
        <v>530</v>
      </c>
      <c r="G55" s="21" t="s">
        <v>530</v>
      </c>
      <c r="H55" s="21" t="s">
        <v>530</v>
      </c>
      <c r="I55" s="21" t="s">
        <v>530</v>
      </c>
      <c r="J55" s="5"/>
    </row>
    <row r="56" spans="1:10" ht="15.75" customHeight="1">
      <c r="A56" s="25" t="s">
        <v>747</v>
      </c>
      <c r="B56" s="11">
        <f>'[3]16)税金预算表'!B56+'[4]16)税金预算表'!B56+'[5]16)税金预算表'!B56</f>
        <v>0</v>
      </c>
      <c r="C56" s="11">
        <f>'[3]16)税金预算表'!C56+'[4]16)税金预算表'!C56+'[5]16)税金预算表'!C56</f>
        <v>0</v>
      </c>
      <c r="D56" s="26">
        <f>B56</f>
        <v>0</v>
      </c>
      <c r="E56" s="26">
        <f>SUM(F56:I56)</f>
        <v>0</v>
      </c>
      <c r="F56" s="26">
        <f>D59</f>
        <v>0</v>
      </c>
      <c r="G56" s="26">
        <f aca="true" t="shared" si="19" ref="C56:I56">F59</f>
        <v>0</v>
      </c>
      <c r="H56" s="26">
        <f t="shared" si="19"/>
        <v>0</v>
      </c>
      <c r="I56" s="26">
        <f t="shared" si="19"/>
        <v>0</v>
      </c>
      <c r="J56" s="5"/>
    </row>
    <row r="57" spans="1:10" ht="15.75" customHeight="1">
      <c r="A57" s="25" t="s">
        <v>748</v>
      </c>
      <c r="B57" s="11">
        <f>'[3]16)税金预算表'!B57+'[4]16)税金预算表'!B57+'[5]16)税金预算表'!B57</f>
        <v>0</v>
      </c>
      <c r="C57" s="11">
        <f>'[3]16)税金预算表'!C57+'[4]16)税金预算表'!C57+'[5]16)税金预算表'!C57</f>
        <v>0</v>
      </c>
      <c r="D57" s="11">
        <f>B57+C57</f>
        <v>0</v>
      </c>
      <c r="E57" s="11">
        <f aca="true" t="shared" si="20" ref="E57:E63">SUM(F57:I57)</f>
        <v>0</v>
      </c>
      <c r="F57" s="11">
        <f>'[3]16)税金预算表'!F57+'[4]16)税金预算表'!F57+'[5]16)税金预算表'!F57</f>
        <v>0</v>
      </c>
      <c r="G57" s="11">
        <f>'[3]16)税金预算表'!G57+'[4]16)税金预算表'!G57+'[5]16)税金预算表'!G57</f>
        <v>0</v>
      </c>
      <c r="H57" s="11">
        <f>'[3]16)税金预算表'!H57+'[4]16)税金预算表'!H57+'[5]16)税金预算表'!H57</f>
        <v>0</v>
      </c>
      <c r="I57" s="11">
        <f>'[3]16)税金预算表'!I57+'[4]16)税金预算表'!I57+'[5]16)税金预算表'!I57</f>
        <v>0</v>
      </c>
      <c r="J57" s="5"/>
    </row>
    <row r="58" spans="1:10" ht="15.75" customHeight="1">
      <c r="A58" s="25" t="s">
        <v>749</v>
      </c>
      <c r="B58" s="11">
        <f>'[3]16)税金预算表'!B58+'[4]16)税金预算表'!B58+'[5]16)税金预算表'!B58</f>
        <v>0</v>
      </c>
      <c r="C58" s="11">
        <f>'[3]16)税金预算表'!C58+'[4]16)税金预算表'!C58+'[5]16)税金预算表'!C58</f>
        <v>0</v>
      </c>
      <c r="D58" s="11">
        <f>B58+C58</f>
        <v>0</v>
      </c>
      <c r="E58" s="11">
        <f t="shared" si="20"/>
        <v>0</v>
      </c>
      <c r="F58" s="11">
        <f>'[3]16)税金预算表'!F58+'[4]16)税金预算表'!F58+'[5]16)税金预算表'!F58</f>
        <v>0</v>
      </c>
      <c r="G58" s="11">
        <f>'[3]16)税金预算表'!G58+'[4]16)税金预算表'!G58+'[5]16)税金预算表'!G58</f>
        <v>0</v>
      </c>
      <c r="H58" s="11">
        <f>'[3]16)税金预算表'!H58+'[4]16)税金预算表'!H58+'[5]16)税金预算表'!H58</f>
        <v>0</v>
      </c>
      <c r="I58" s="11">
        <f>'[3]16)税金预算表'!I58+'[4]16)税金预算表'!I58+'[5]16)税金预算表'!I58</f>
        <v>0</v>
      </c>
      <c r="J58" s="5"/>
    </row>
    <row r="59" spans="1:10" ht="15.75" customHeight="1">
      <c r="A59" s="25" t="s">
        <v>750</v>
      </c>
      <c r="B59" s="11">
        <f aca="true" t="shared" si="21" ref="B59:I59">B56+B57-B58</f>
        <v>0</v>
      </c>
      <c r="C59" s="11">
        <f t="shared" si="21"/>
        <v>0</v>
      </c>
      <c r="D59" s="11">
        <f t="shared" si="21"/>
        <v>0</v>
      </c>
      <c r="E59" s="11">
        <f t="shared" si="21"/>
        <v>0</v>
      </c>
      <c r="F59" s="11">
        <f t="shared" si="21"/>
        <v>0</v>
      </c>
      <c r="G59" s="11">
        <f t="shared" si="21"/>
        <v>0</v>
      </c>
      <c r="H59" s="11">
        <f t="shared" si="21"/>
        <v>0</v>
      </c>
      <c r="I59" s="11">
        <f t="shared" si="21"/>
        <v>0</v>
      </c>
      <c r="J59" s="5"/>
    </row>
    <row r="60" spans="1:10" ht="15.75" customHeight="1">
      <c r="A60" s="25" t="s">
        <v>761</v>
      </c>
      <c r="B60" s="21" t="s">
        <v>530</v>
      </c>
      <c r="C60" s="95" t="s">
        <v>530</v>
      </c>
      <c r="D60" s="95" t="s">
        <v>530</v>
      </c>
      <c r="E60" s="95" t="s">
        <v>530</v>
      </c>
      <c r="F60" s="21" t="s">
        <v>530</v>
      </c>
      <c r="G60" s="21" t="s">
        <v>530</v>
      </c>
      <c r="H60" s="21" t="s">
        <v>530</v>
      </c>
      <c r="I60" s="21" t="s">
        <v>530</v>
      </c>
      <c r="J60" s="5"/>
    </row>
    <row r="61" spans="1:10" ht="15.75" customHeight="1">
      <c r="A61" s="25" t="s">
        <v>747</v>
      </c>
      <c r="B61" s="11">
        <f>'[3]16)税金预算表'!B61+'[4]16)税金预算表'!B61+'[5]16)税金预算表'!B61</f>
        <v>0</v>
      </c>
      <c r="C61" s="11">
        <f>'[3]16)税金预算表'!C61+'[4]16)税金预算表'!C61+'[5]16)税金预算表'!C61</f>
        <v>0</v>
      </c>
      <c r="D61" s="26">
        <f>B61</f>
        <v>0</v>
      </c>
      <c r="E61" s="26">
        <f t="shared" si="20"/>
        <v>250</v>
      </c>
      <c r="F61" s="26">
        <f>D64</f>
        <v>125</v>
      </c>
      <c r="G61" s="26">
        <f aca="true" t="shared" si="22" ref="C61:I61">F64</f>
        <v>125</v>
      </c>
      <c r="H61" s="26">
        <f t="shared" si="22"/>
        <v>0</v>
      </c>
      <c r="I61" s="26">
        <f t="shared" si="22"/>
        <v>0</v>
      </c>
      <c r="J61" s="5"/>
    </row>
    <row r="62" spans="1:10" ht="15.75" customHeight="1">
      <c r="A62" s="25" t="s">
        <v>748</v>
      </c>
      <c r="B62" s="11">
        <f>'[3]16)税金预算表'!B62+'[4]16)税金预算表'!B62+'[5]16)税金预算表'!B62</f>
        <v>256741.30000000005</v>
      </c>
      <c r="C62" s="11">
        <f>'[3]16)税金预算表'!C62+'[4]16)税金预算表'!C62+'[5]16)税金预算表'!C62</f>
        <v>125</v>
      </c>
      <c r="D62" s="11">
        <f>B62+C62</f>
        <v>256866.30000000005</v>
      </c>
      <c r="E62" s="11">
        <f t="shared" si="20"/>
        <v>250</v>
      </c>
      <c r="F62" s="11">
        <f>'[3]16)税金预算表'!F62+'[4]16)税金预算表'!F62+'[5]16)税金预算表'!F62</f>
        <v>125</v>
      </c>
      <c r="G62" s="11">
        <f>'[3]16)税金预算表'!G62+'[4]16)税金预算表'!G62+'[5]16)税金预算表'!G62</f>
        <v>0</v>
      </c>
      <c r="H62" s="11">
        <f>'[3]16)税金预算表'!H62+'[4]16)税金预算表'!H62+'[5]16)税金预算表'!H62</f>
        <v>0</v>
      </c>
      <c r="I62" s="11">
        <f>'[3]16)税金预算表'!I62+'[4]16)税金预算表'!I62+'[5]16)税金预算表'!I62</f>
        <v>125</v>
      </c>
      <c r="J62" s="5"/>
    </row>
    <row r="63" spans="1:10" ht="15.75" customHeight="1">
      <c r="A63" s="25" t="s">
        <v>749</v>
      </c>
      <c r="B63" s="11">
        <f>'[3]16)税金预算表'!B63+'[4]16)税金预算表'!B63+'[5]16)税金预算表'!B63</f>
        <v>256741.30000000005</v>
      </c>
      <c r="C63" s="11">
        <f>'[3]16)税金预算表'!C63+'[4]16)税金预算表'!C63+'[5]16)税金预算表'!C63</f>
        <v>0</v>
      </c>
      <c r="D63" s="11">
        <f>B63+C63</f>
        <v>256741.30000000005</v>
      </c>
      <c r="E63" s="11">
        <f t="shared" si="20"/>
        <v>250</v>
      </c>
      <c r="F63" s="11">
        <f>'[3]16)税金预算表'!F63+'[4]16)税金预算表'!F63+'[5]16)税金预算表'!F63</f>
        <v>125</v>
      </c>
      <c r="G63" s="11">
        <f>'[3]16)税金预算表'!G63+'[4]16)税金预算表'!G63+'[5]16)税金预算表'!G63</f>
        <v>125</v>
      </c>
      <c r="H63" s="11">
        <f>'[3]16)税金预算表'!H63+'[4]16)税金预算表'!H63+'[5]16)税金预算表'!H63</f>
        <v>0</v>
      </c>
      <c r="I63" s="11">
        <f>'[3]16)税金预算表'!I63+'[4]16)税金预算表'!I63+'[5]16)税金预算表'!I63</f>
        <v>0</v>
      </c>
      <c r="J63" s="5"/>
    </row>
    <row r="64" spans="1:10" ht="15.75" customHeight="1">
      <c r="A64" s="25" t="s">
        <v>750</v>
      </c>
      <c r="B64" s="11">
        <f aca="true" t="shared" si="23" ref="B64:I64">B61+B62-B63</f>
        <v>0</v>
      </c>
      <c r="C64" s="11">
        <f t="shared" si="23"/>
        <v>125</v>
      </c>
      <c r="D64" s="11">
        <f t="shared" si="23"/>
        <v>125</v>
      </c>
      <c r="E64" s="11">
        <f t="shared" si="23"/>
        <v>250</v>
      </c>
      <c r="F64" s="11">
        <f t="shared" si="23"/>
        <v>125</v>
      </c>
      <c r="G64" s="11">
        <f t="shared" si="23"/>
        <v>0</v>
      </c>
      <c r="H64" s="11">
        <f t="shared" si="23"/>
        <v>0</v>
      </c>
      <c r="I64" s="11">
        <f t="shared" si="23"/>
        <v>125</v>
      </c>
      <c r="J64" s="5"/>
    </row>
    <row r="65" spans="1:10" ht="18" customHeight="1">
      <c r="A65" s="25" t="s">
        <v>762</v>
      </c>
      <c r="B65" s="11">
        <f>B8+B13+B18+B23+B28+B33+B38+B43+B48+B53+B58+B63</f>
        <v>2262851.99</v>
      </c>
      <c r="C65" s="11">
        <f aca="true" t="shared" si="24" ref="C65:I65">C8+C13+C18+C23+C28+C33+C38+C43+C48+C53+C58+C63</f>
        <v>227952.4272</v>
      </c>
      <c r="D65" s="11">
        <f t="shared" si="24"/>
        <v>2490804.4172</v>
      </c>
      <c r="E65" s="11">
        <f t="shared" si="24"/>
        <v>1587773.195169602</v>
      </c>
      <c r="F65" s="11">
        <f t="shared" si="24"/>
        <v>404517.19999999984</v>
      </c>
      <c r="G65" s="11">
        <f t="shared" si="24"/>
        <v>381193.2051584905</v>
      </c>
      <c r="H65" s="11">
        <f t="shared" si="24"/>
        <v>405875.353820772</v>
      </c>
      <c r="I65" s="11">
        <f t="shared" si="24"/>
        <v>396187.4361903396</v>
      </c>
      <c r="J65" s="5"/>
    </row>
    <row r="66" spans="1:10" ht="18" customHeight="1">
      <c r="A66" s="25" t="s">
        <v>763</v>
      </c>
      <c r="B66" s="11">
        <f>B9+B14+B19+B24+B29+B34+B39+B44+B49+B54+B59+B64</f>
        <v>367222.1999999997</v>
      </c>
      <c r="C66" s="11">
        <f aca="true" t="shared" si="25" ref="C66:I66">C9+C14+C19+C24+C29+C34+C39+C44+C49+C54+C59+C64</f>
        <v>404517.1999999999</v>
      </c>
      <c r="D66" s="11">
        <f t="shared" si="25"/>
        <v>404517.1999999997</v>
      </c>
      <c r="E66" s="11">
        <f t="shared" si="25"/>
        <v>2152309.351137629</v>
      </c>
      <c r="F66" s="11">
        <f t="shared" si="25"/>
        <v>381193.2051584904</v>
      </c>
      <c r="G66" s="11">
        <f t="shared" si="25"/>
        <v>405875.3538207719</v>
      </c>
      <c r="H66" s="11">
        <f t="shared" si="25"/>
        <v>396187.4361903395</v>
      </c>
      <c r="I66" s="11">
        <f t="shared" si="25"/>
        <v>969053.3559680271</v>
      </c>
      <c r="J66" s="5"/>
    </row>
    <row r="67" spans="1:10" ht="18" customHeight="1">
      <c r="A67" s="25" t="s">
        <v>764</v>
      </c>
      <c r="B67" s="21"/>
      <c r="C67" s="12"/>
      <c r="D67" s="15"/>
      <c r="E67" s="15"/>
      <c r="F67" s="12"/>
      <c r="G67" s="12"/>
      <c r="H67" s="12"/>
      <c r="I67" s="12"/>
      <c r="J67" s="5"/>
    </row>
    <row r="68" spans="1:10" ht="18" customHeight="1">
      <c r="A68" s="5"/>
      <c r="B68" s="16"/>
      <c r="C68" s="4" t="s">
        <v>340</v>
      </c>
      <c r="D68" s="5"/>
      <c r="E68" s="5"/>
      <c r="F68" s="16"/>
      <c r="G68" s="17" t="s">
        <v>380</v>
      </c>
      <c r="H68" s="5"/>
      <c r="I68" s="5"/>
      <c r="J68" s="5"/>
    </row>
  </sheetData>
  <sheetProtection/>
  <mergeCells count="5">
    <mergeCell ref="A1:J1"/>
    <mergeCell ref="B3:D3"/>
    <mergeCell ref="E3:I3"/>
    <mergeCell ref="A3:A4"/>
    <mergeCell ref="J3:J4"/>
  </mergeCells>
  <printOptions/>
  <pageMargins left="0.71" right="0.23999999999999996" top="0.53" bottom="0.52" header="0.32" footer="0.29"/>
  <pageSetup fitToHeight="1" fitToWidth="1" horizontalDpi="300" verticalDpi="300" orientation="portrait" paperSize="9" scale="63"/>
</worksheet>
</file>

<file path=xl/worksheets/sheet33.xml><?xml version="1.0" encoding="utf-8"?>
<worksheet xmlns="http://schemas.openxmlformats.org/spreadsheetml/2006/main" xmlns:r="http://schemas.openxmlformats.org/officeDocument/2006/relationships">
  <sheetPr>
    <pageSetUpPr fitToPage="1"/>
  </sheetPr>
  <dimension ref="A1:M49"/>
  <sheetViews>
    <sheetView workbookViewId="0" topLeftCell="A2">
      <selection activeCell="E7" sqref="E7"/>
    </sheetView>
  </sheetViews>
  <sheetFormatPr defaultColWidth="9.140625" defaultRowHeight="12.75"/>
  <cols>
    <col min="1" max="1" width="23.8515625" style="0" customWidth="1"/>
    <col min="2" max="2" width="15.421875" style="0" customWidth="1"/>
    <col min="3" max="4" width="11.7109375" style="0" customWidth="1"/>
    <col min="5" max="5" width="10.8515625" style="0" customWidth="1"/>
    <col min="6" max="6" width="9.7109375" style="0" customWidth="1"/>
    <col min="7" max="11" width="10.8515625" style="0" customWidth="1"/>
    <col min="12" max="12" width="10.7109375" style="0" customWidth="1"/>
    <col min="13" max="13" width="11.421875" style="0" customWidth="1"/>
  </cols>
  <sheetData>
    <row r="1" spans="1:13" ht="27" customHeight="1">
      <c r="A1" s="23" t="s">
        <v>765</v>
      </c>
      <c r="B1" s="23"/>
      <c r="C1" s="23" t="s">
        <v>765</v>
      </c>
      <c r="D1" s="23" t="s">
        <v>765</v>
      </c>
      <c r="E1" s="23" t="s">
        <v>765</v>
      </c>
      <c r="F1" s="23"/>
      <c r="G1" s="57" t="s">
        <v>765</v>
      </c>
      <c r="H1" s="57" t="s">
        <v>765</v>
      </c>
      <c r="I1" s="23" t="s">
        <v>765</v>
      </c>
      <c r="J1" s="23" t="s">
        <v>765</v>
      </c>
      <c r="K1" s="23" t="s">
        <v>765</v>
      </c>
      <c r="L1" s="23" t="s">
        <v>765</v>
      </c>
      <c r="M1" s="23" t="s">
        <v>765</v>
      </c>
    </row>
    <row r="2" spans="1:13" ht="18" customHeight="1">
      <c r="A2" s="5" t="s">
        <v>287</v>
      </c>
      <c r="B2" s="54"/>
      <c r="C2" s="45"/>
      <c r="D2" s="46"/>
      <c r="E2" s="47"/>
      <c r="F2" s="88" t="s">
        <v>288</v>
      </c>
      <c r="G2" s="89"/>
      <c r="H2" s="89"/>
      <c r="I2" s="92"/>
      <c r="J2" s="5"/>
      <c r="K2" s="5"/>
      <c r="L2" s="16" t="s">
        <v>1</v>
      </c>
      <c r="M2" s="5"/>
    </row>
    <row r="3" spans="1:13" ht="18" customHeight="1">
      <c r="A3" s="18" t="s">
        <v>290</v>
      </c>
      <c r="B3" s="90" t="s">
        <v>366</v>
      </c>
      <c r="C3" s="38"/>
      <c r="D3" s="38"/>
      <c r="E3" s="38"/>
      <c r="F3" s="39"/>
      <c r="G3" s="49" t="s">
        <v>292</v>
      </c>
      <c r="H3" s="49" t="s">
        <v>292</v>
      </c>
      <c r="I3" s="9" t="s">
        <v>292</v>
      </c>
      <c r="J3" s="9" t="s">
        <v>292</v>
      </c>
      <c r="K3" s="9" t="s">
        <v>292</v>
      </c>
      <c r="L3" s="9" t="s">
        <v>293</v>
      </c>
      <c r="M3" s="18" t="s">
        <v>33</v>
      </c>
    </row>
    <row r="4" spans="1:13" ht="18" customHeight="1">
      <c r="A4" s="18" t="s">
        <v>290</v>
      </c>
      <c r="B4" s="9" t="s">
        <v>294</v>
      </c>
      <c r="C4" s="9" t="s">
        <v>463</v>
      </c>
      <c r="D4" s="9" t="s">
        <v>296</v>
      </c>
      <c r="E4" s="9" t="s">
        <v>464</v>
      </c>
      <c r="F4" s="9" t="s">
        <v>299</v>
      </c>
      <c r="G4" s="9" t="s">
        <v>314</v>
      </c>
      <c r="H4" s="9" t="s">
        <v>324</v>
      </c>
      <c r="I4" s="9" t="s">
        <v>331</v>
      </c>
      <c r="J4" s="9" t="s">
        <v>334</v>
      </c>
      <c r="K4" s="9" t="s">
        <v>336</v>
      </c>
      <c r="L4" s="9" t="s">
        <v>293</v>
      </c>
      <c r="M4" s="18" t="s">
        <v>33</v>
      </c>
    </row>
    <row r="5" spans="1:13" ht="18" customHeight="1">
      <c r="A5" s="25" t="s">
        <v>766</v>
      </c>
      <c r="B5" s="11">
        <f>B6+B22+B45</f>
        <v>499063.52</v>
      </c>
      <c r="C5" s="11">
        <f>C6+C22+C45</f>
        <v>163391.02</v>
      </c>
      <c r="D5" s="11">
        <f>D6+D22+D45</f>
        <v>54143.310000000005</v>
      </c>
      <c r="E5" s="11">
        <f>E6+E22+E45</f>
        <v>281874.32999999996</v>
      </c>
      <c r="F5" s="91">
        <f>E5/B5</f>
        <v>0.5648065200197361</v>
      </c>
      <c r="G5" s="11">
        <f>G6+G22+G45</f>
        <v>378848.7466666667</v>
      </c>
      <c r="H5" s="11">
        <f>H6+H22+H45</f>
        <v>93830.18666666668</v>
      </c>
      <c r="I5" s="11">
        <f>I6+I22+I45</f>
        <v>95630.18666666668</v>
      </c>
      <c r="J5" s="11">
        <f>J6+J22+J45</f>
        <v>95462.18666666668</v>
      </c>
      <c r="K5" s="11">
        <f>K6+K22+K45</f>
        <v>93926.18666666668</v>
      </c>
      <c r="L5" s="41">
        <f>G5/E5</f>
        <v>1.3440342249919202</v>
      </c>
      <c r="M5" s="5"/>
    </row>
    <row r="6" spans="1:13" ht="18" customHeight="1">
      <c r="A6" s="25" t="s">
        <v>767</v>
      </c>
      <c r="B6" s="11">
        <f>B7+SUM(B16:B21)</f>
        <v>210571.56</v>
      </c>
      <c r="C6" s="11">
        <f>C7+SUM(C16:C21)</f>
        <v>154822.91999999998</v>
      </c>
      <c r="D6" s="11">
        <f>D7+SUM(D16:D21)</f>
        <v>51901.83</v>
      </c>
      <c r="E6" s="11">
        <f>E7+SUM(E16:E21)</f>
        <v>271064.75</v>
      </c>
      <c r="F6" s="91">
        <f>E6/B6</f>
        <v>1.287280912958996</v>
      </c>
      <c r="G6" s="11">
        <f>G7+SUM(G16:G21)</f>
        <v>209278.08000000002</v>
      </c>
      <c r="H6" s="11">
        <f>H7+SUM(H16:H21)</f>
        <v>51269.520000000004</v>
      </c>
      <c r="I6" s="11">
        <f>I7+SUM(I16:I21)</f>
        <v>53069.520000000004</v>
      </c>
      <c r="J6" s="11">
        <f>J7+SUM(J16:J21)</f>
        <v>53069.520000000004</v>
      </c>
      <c r="K6" s="11">
        <f>K7+SUM(K16:K21)</f>
        <v>51869.520000000004</v>
      </c>
      <c r="L6" s="41">
        <f>G6/E6</f>
        <v>0.7720593695786708</v>
      </c>
      <c r="M6" s="5"/>
    </row>
    <row r="7" spans="1:13" ht="18" customHeight="1">
      <c r="A7" s="72" t="s">
        <v>768</v>
      </c>
      <c r="B7" s="11">
        <f>B8+B9+B13+B14+B15</f>
        <v>163376</v>
      </c>
      <c r="C7" s="11">
        <f aca="true" t="shared" si="0" ref="C7:K7">C8+C9+C13+C14+C15</f>
        <v>124269.75</v>
      </c>
      <c r="D7" s="11">
        <f t="shared" si="0"/>
        <v>41009</v>
      </c>
      <c r="E7" s="11">
        <f>SUM(E8:E15)</f>
        <v>229618.75</v>
      </c>
      <c r="F7" s="91">
        <f>E7/B7</f>
        <v>1.4054619405543043</v>
      </c>
      <c r="G7" s="11">
        <f>G8+G9+G13+G14+G15</f>
        <v>157936</v>
      </c>
      <c r="H7" s="11">
        <f t="shared" si="0"/>
        <v>38434</v>
      </c>
      <c r="I7" s="11">
        <f t="shared" si="0"/>
        <v>40234</v>
      </c>
      <c r="J7" s="11">
        <f t="shared" si="0"/>
        <v>40234</v>
      </c>
      <c r="K7" s="11">
        <f t="shared" si="0"/>
        <v>39034</v>
      </c>
      <c r="L7" s="41">
        <f>G7/E7</f>
        <v>0.6878183946215194</v>
      </c>
      <c r="M7" s="5"/>
    </row>
    <row r="8" spans="1:13" ht="18" customHeight="1">
      <c r="A8" s="72" t="s">
        <v>769</v>
      </c>
      <c r="B8" s="11">
        <f>'[3]16)销售（经营）费用预算表'!B8+'[4]17)销售（经营）费用预算表'!B8+'[5]17)销售（经营）费用预算表'!B8</f>
        <v>81600</v>
      </c>
      <c r="C8" s="11">
        <f>'[3]16)销售（经营）费用预算表'!C8+'[4]17)销售（经营）费用预算表'!C8+'[5]17)销售（经营）费用预算表'!C8</f>
        <v>61273.56</v>
      </c>
      <c r="D8" s="11">
        <f>'[3]16)销售（经营）费用预算表'!D8+'[4]17)销售（经营）费用预算表'!D8+'[5]17)销售（经营）费用预算表'!D8</f>
        <v>20400</v>
      </c>
      <c r="E8" s="11">
        <f aca="true" t="shared" si="1" ref="E8:E13">C8+D8</f>
        <v>81673.56</v>
      </c>
      <c r="F8" s="91">
        <f aca="true" t="shared" si="2" ref="F8:F13">E8/B8</f>
        <v>1.0009014705882353</v>
      </c>
      <c r="G8" s="11">
        <f aca="true" t="shared" si="3" ref="G8:G13">SUM(H8:K8)</f>
        <v>81600</v>
      </c>
      <c r="H8" s="11">
        <f>'[3]16)销售（经营）费用预算表'!H8+'[4]17)销售（经营）费用预算表'!H8+'[5]17)销售（经营）费用预算表'!H8</f>
        <v>20400</v>
      </c>
      <c r="I8" s="11">
        <f>'[3]16)销售（经营）费用预算表'!I8+'[4]17)销售（经营）费用预算表'!I8+'[5]17)销售（经营）费用预算表'!I8</f>
        <v>20400</v>
      </c>
      <c r="J8" s="11">
        <f>'[3]16)销售（经营）费用预算表'!J8+'[4]17)销售（经营）费用预算表'!J8+'[5]17)销售（经营）费用预算表'!J8</f>
        <v>20400</v>
      </c>
      <c r="K8" s="11">
        <f>'[3]16)销售（经营）费用预算表'!K8+'[4]17)销售（经营）费用预算表'!K8+'[5]17)销售（经营）费用预算表'!K8</f>
        <v>20400</v>
      </c>
      <c r="L8" s="41">
        <f aca="true" t="shared" si="4" ref="L8:L13">G8/E8</f>
        <v>0.9990993413290666</v>
      </c>
      <c r="M8" s="5"/>
    </row>
    <row r="9" spans="1:13" ht="18" customHeight="1">
      <c r="A9" s="72" t="s">
        <v>770</v>
      </c>
      <c r="B9" s="26">
        <f>SUM(B10:B12)</f>
        <v>59800</v>
      </c>
      <c r="C9" s="26">
        <f>SUM(C10:C12)</f>
        <v>48255</v>
      </c>
      <c r="D9" s="26">
        <f>SUM(D10:D12)</f>
        <v>16085</v>
      </c>
      <c r="E9" s="11">
        <f t="shared" si="1"/>
        <v>64340</v>
      </c>
      <c r="F9" s="91">
        <f t="shared" si="2"/>
        <v>1.0759197324414715</v>
      </c>
      <c r="G9" s="26">
        <f t="shared" si="3"/>
        <v>59800</v>
      </c>
      <c r="H9" s="26">
        <f>SUM(H10:H12)</f>
        <v>14950</v>
      </c>
      <c r="I9" s="26">
        <f>SUM(I10:I12)</f>
        <v>14950</v>
      </c>
      <c r="J9" s="26">
        <f>SUM(J10:J12)</f>
        <v>14950</v>
      </c>
      <c r="K9" s="26">
        <f>SUM(K10:K12)</f>
        <v>14950</v>
      </c>
      <c r="L9" s="41">
        <f t="shared" si="4"/>
        <v>0.9294373640037302</v>
      </c>
      <c r="M9" s="5"/>
    </row>
    <row r="10" spans="1:13" ht="18" customHeight="1">
      <c r="A10" s="75" t="s">
        <v>771</v>
      </c>
      <c r="B10" s="11">
        <f>'[3]16)销售（经营）费用预算表'!B10+'[4]17)销售（经营）费用预算表'!B10+'[5]17)销售（经营）费用预算表'!B10</f>
        <v>0</v>
      </c>
      <c r="C10" s="11">
        <f>'[3]16)销售（经营）费用预算表'!C10+'[4]17)销售（经营）费用预算表'!C10+'[5]17)销售（经营）费用预算表'!C10</f>
        <v>0</v>
      </c>
      <c r="D10" s="11">
        <f>'[3]16)销售（经营）费用预算表'!D10+'[4]17)销售（经营）费用预算表'!D10+'[5]17)销售（经营）费用预算表'!D10</f>
        <v>0</v>
      </c>
      <c r="E10" s="11">
        <f t="shared" si="1"/>
        <v>0</v>
      </c>
      <c r="F10" s="91" t="e">
        <f t="shared" si="2"/>
        <v>#DIV/0!</v>
      </c>
      <c r="G10" s="11">
        <f t="shared" si="3"/>
        <v>0</v>
      </c>
      <c r="H10" s="11">
        <f>'[3]16)销售（经营）费用预算表'!H10+'[4]17)销售（经营）费用预算表'!H10+'[5]17)销售（经营）费用预算表'!H10</f>
        <v>0</v>
      </c>
      <c r="I10" s="11">
        <f>'[3]16)销售（经营）费用预算表'!I10+'[4]17)销售（经营）费用预算表'!I10+'[5]17)销售（经营）费用预算表'!I10</f>
        <v>0</v>
      </c>
      <c r="J10" s="11">
        <f>'[3]16)销售（经营）费用预算表'!J10+'[4]17)销售（经营）费用预算表'!J10+'[5]17)销售（经营）费用预算表'!J10</f>
        <v>0</v>
      </c>
      <c r="K10" s="11">
        <f>'[3]16)销售（经营）费用预算表'!K10+'[4]17)销售（经营）费用预算表'!K10+'[5]17)销售（经营）费用预算表'!K10</f>
        <v>0</v>
      </c>
      <c r="L10" s="41" t="e">
        <f t="shared" si="4"/>
        <v>#DIV/0!</v>
      </c>
      <c r="M10" s="5"/>
    </row>
    <row r="11" spans="1:13" ht="18" customHeight="1">
      <c r="A11" s="75" t="s">
        <v>772</v>
      </c>
      <c r="B11" s="11">
        <f>'[3]16)销售（经营）费用预算表'!B11+'[4]17)销售（经营）费用预算表'!B11+'[5]17)销售（经营）费用预算表'!B11</f>
        <v>22800</v>
      </c>
      <c r="C11" s="11">
        <f>'[3]16)销售（经营）费用预算表'!C11+'[4]17)销售（经营）费用预算表'!C11+'[5]17)销售（经营）费用预算表'!C11</f>
        <v>17100</v>
      </c>
      <c r="D11" s="11">
        <f>'[3]16)销售（经营）费用预算表'!D11+'[4]17)销售（经营）费用预算表'!D11+'[5]17)销售（经营）费用预算表'!D11</f>
        <v>5700</v>
      </c>
      <c r="E11" s="11">
        <f t="shared" si="1"/>
        <v>22800</v>
      </c>
      <c r="F11" s="91">
        <f t="shared" si="2"/>
        <v>1</v>
      </c>
      <c r="G11" s="11">
        <f t="shared" si="3"/>
        <v>22800</v>
      </c>
      <c r="H11" s="11">
        <f>'[3]16)销售（经营）费用预算表'!H11+'[4]17)销售（经营）费用预算表'!H11+'[5]17)销售（经营）费用预算表'!H11</f>
        <v>5700</v>
      </c>
      <c r="I11" s="11">
        <f>'[3]16)销售（经营）费用预算表'!I11+'[4]17)销售（经营）费用预算表'!I11+'[5]17)销售（经营）费用预算表'!I11</f>
        <v>5700</v>
      </c>
      <c r="J11" s="11">
        <f>'[3]16)销售（经营）费用预算表'!J11+'[4]17)销售（经营）费用预算表'!J11+'[5]17)销售（经营）费用预算表'!J11</f>
        <v>5700</v>
      </c>
      <c r="K11" s="11">
        <f>'[3]16)销售（经营）费用预算表'!K11+'[4]17)销售（经营）费用预算表'!K11+'[5]17)销售（经营）费用预算表'!K11</f>
        <v>5700</v>
      </c>
      <c r="L11" s="41">
        <f t="shared" si="4"/>
        <v>1</v>
      </c>
      <c r="M11" s="5"/>
    </row>
    <row r="12" spans="1:13" ht="18" customHeight="1">
      <c r="A12" s="75" t="s">
        <v>773</v>
      </c>
      <c r="B12" s="11">
        <f>'[3]16)销售（经营）费用预算表'!B12+'[4]17)销售（经营）费用预算表'!B12+'[5]17)销售（经营）费用预算表'!B12</f>
        <v>37000</v>
      </c>
      <c r="C12" s="11">
        <f>'[3]16)销售（经营）费用预算表'!C12+'[4]17)销售（经营）费用预算表'!C12+'[5]17)销售（经营）费用预算表'!C12</f>
        <v>31155</v>
      </c>
      <c r="D12" s="11">
        <f>'[3]16)销售（经营）费用预算表'!D12+'[4]17)销售（经营）费用预算表'!D12+'[5]17)销售（经营）费用预算表'!D12</f>
        <v>10385</v>
      </c>
      <c r="E12" s="11">
        <f t="shared" si="1"/>
        <v>41540</v>
      </c>
      <c r="F12" s="91">
        <f t="shared" si="2"/>
        <v>1.1227027027027028</v>
      </c>
      <c r="G12" s="11">
        <f t="shared" si="3"/>
        <v>37000</v>
      </c>
      <c r="H12" s="11">
        <f>'[3]16)销售（经营）费用预算表'!H12+'[4]17)销售（经营）费用预算表'!H12+'[5]17)销售（经营）费用预算表'!H12</f>
        <v>9250</v>
      </c>
      <c r="I12" s="11">
        <f>'[3]16)销售（经营）费用预算表'!I12+'[4]17)销售（经营）费用预算表'!I12+'[5]17)销售（经营）费用预算表'!I12</f>
        <v>9250</v>
      </c>
      <c r="J12" s="11">
        <f>'[3]16)销售（经营）费用预算表'!J12+'[4]17)销售（经营）费用预算表'!J12+'[5]17)销售（经营）费用预算表'!J12</f>
        <v>9250</v>
      </c>
      <c r="K12" s="11">
        <f>'[3]16)销售（经营）费用预算表'!K12+'[4]17)销售（经营）费用预算表'!K12+'[5]17)销售（经营）费用预算表'!K12</f>
        <v>9250</v>
      </c>
      <c r="L12" s="41">
        <f t="shared" si="4"/>
        <v>0.8907077515647569</v>
      </c>
      <c r="M12" s="5"/>
    </row>
    <row r="13" spans="1:13" ht="18" customHeight="1">
      <c r="A13" s="75" t="s">
        <v>774</v>
      </c>
      <c r="B13" s="11">
        <f>'[3]16)销售（经营）费用预算表'!B13+'[4]17)销售（经营）费用预算表'!B13+'[5]17)销售（经营）费用预算表'!B13</f>
        <v>0</v>
      </c>
      <c r="C13" s="11">
        <f>'[3]16)销售（经营）费用预算表'!C13+'[4]17)销售（经营）费用预算表'!C13+'[5]17)销售（经营）费用预算表'!C13</f>
        <v>500</v>
      </c>
      <c r="D13" s="11">
        <f>'[3]16)销售（经营）费用预算表'!D13+'[4]17)销售（经营）费用预算表'!D13+'[5]17)销售（经营）费用预算表'!D13</f>
        <v>0</v>
      </c>
      <c r="E13" s="11">
        <f t="shared" si="1"/>
        <v>500</v>
      </c>
      <c r="F13" s="91" t="e">
        <f t="shared" si="2"/>
        <v>#DIV/0!</v>
      </c>
      <c r="G13" s="11">
        <f t="shared" si="3"/>
        <v>0</v>
      </c>
      <c r="H13" s="11">
        <f>'[3]16)销售（经营）费用预算表'!H13+'[4]17)销售（经营）费用预算表'!H13+'[5]17)销售（经营）费用预算表'!H13</f>
        <v>0</v>
      </c>
      <c r="I13" s="11">
        <f>'[3]16)销售（经营）费用预算表'!I13+'[4]17)销售（经营）费用预算表'!I13+'[5]17)销售（经营）费用预算表'!I13</f>
        <v>0</v>
      </c>
      <c r="J13" s="11">
        <f>'[3]16)销售（经营）费用预算表'!J13+'[4]17)销售（经营）费用预算表'!J13+'[5]17)销售（经营）费用预算表'!J13</f>
        <v>0</v>
      </c>
      <c r="K13" s="11">
        <f>'[3]16)销售（经营）费用预算表'!K13+'[4]17)销售（经营）费用预算表'!K13+'[5]17)销售（经营）费用预算表'!K13</f>
        <v>0</v>
      </c>
      <c r="L13" s="41">
        <f t="shared" si="4"/>
        <v>0</v>
      </c>
      <c r="M13" s="5"/>
    </row>
    <row r="14" spans="1:13" ht="18" customHeight="1">
      <c r="A14" s="72" t="s">
        <v>775</v>
      </c>
      <c r="B14" s="11">
        <f>'[3]16)销售（经营）费用预算表'!B14+'[4]17)销售（经营）费用预算表'!B14+'[5]17)销售（经营）费用预算表'!B14</f>
        <v>15576</v>
      </c>
      <c r="C14" s="11">
        <f>'[3]16)销售（经营）费用预算表'!C14+'[4]17)销售（经营）费用预算表'!C14+'[5]17)销售（经营）费用预算表'!C14</f>
        <v>11952</v>
      </c>
      <c r="D14" s="11">
        <f>'[3]16)销售（经营）费用预算表'!D14+'[4]17)销售（经营）费用预算表'!D14+'[5]17)销售（经营）费用预算表'!D14</f>
        <v>3024</v>
      </c>
      <c r="E14" s="11">
        <f aca="true" t="shared" si="5" ref="E14:E21">C14+D14</f>
        <v>14976</v>
      </c>
      <c r="F14" s="91">
        <f aca="true" t="shared" si="6" ref="F14:F48">E14/B14</f>
        <v>0.9614791987673343</v>
      </c>
      <c r="G14" s="11">
        <f aca="true" t="shared" si="7" ref="G14:G21">SUM(H14:K14)</f>
        <v>16536</v>
      </c>
      <c r="H14" s="11">
        <f>'[3]16)销售（经营）费用预算表'!H14+'[4]17)销售（经营）费用预算表'!H14+'[5]17)销售（经营）费用预算表'!H14</f>
        <v>3084</v>
      </c>
      <c r="I14" s="11">
        <f>'[3]16)销售（经营）费用预算表'!I14+'[4]17)销售（经营）费用预算表'!I14+'[5]17)销售（经营）费用预算表'!I14</f>
        <v>4884</v>
      </c>
      <c r="J14" s="11">
        <f>'[3]16)销售（经营）费用预算表'!J14+'[4]17)销售（经营）费用预算表'!J14+'[5]17)销售（经营）费用预算表'!J14</f>
        <v>4884</v>
      </c>
      <c r="K14" s="11">
        <f>'[3]16)销售（经营）费用预算表'!K14+'[4]17)销售（经营）费用预算表'!K14+'[5]17)销售（经营）费用预算表'!K14</f>
        <v>3684</v>
      </c>
      <c r="L14" s="41">
        <f aca="true" t="shared" si="8" ref="L14:L48">G14/E14</f>
        <v>1.1041666666666667</v>
      </c>
      <c r="M14" s="5"/>
    </row>
    <row r="15" spans="1:13" ht="18" customHeight="1">
      <c r="A15" s="72" t="s">
        <v>776</v>
      </c>
      <c r="B15" s="11">
        <f>'[3]16)销售（经营）费用预算表'!B15+'[4]17)销售（经营）费用预算表'!B15+'[5]17)销售（经营）费用预算表'!B15</f>
        <v>6400</v>
      </c>
      <c r="C15" s="11">
        <f>'[3]16)销售（经营）费用预算表'!C15+'[4]17)销售（经营）费用预算表'!C15+'[5]17)销售（经营）费用预算表'!C15</f>
        <v>2289.19</v>
      </c>
      <c r="D15" s="11">
        <f>'[3]16)销售（经营）费用预算表'!D15+'[4]17)销售（经营）费用预算表'!D15+'[5]17)销售（经营）费用预算表'!D15</f>
        <v>1500</v>
      </c>
      <c r="E15" s="11">
        <f t="shared" si="5"/>
        <v>3789.19</v>
      </c>
      <c r="F15" s="91">
        <f t="shared" si="6"/>
        <v>0.5920609375</v>
      </c>
      <c r="G15" s="11">
        <f t="shared" si="7"/>
        <v>0</v>
      </c>
      <c r="H15" s="11">
        <f>'[3]16)销售（经营）费用预算表'!H15+'[4]17)销售（经营）费用预算表'!H15+'[5]17)销售（经营）费用预算表'!H15</f>
        <v>0</v>
      </c>
      <c r="I15" s="11">
        <f>'[3]16)销售（经营）费用预算表'!I15+'[4]17)销售（经营）费用预算表'!I15+'[5]17)销售（经营）费用预算表'!I15</f>
        <v>0</v>
      </c>
      <c r="J15" s="11">
        <f>'[3]16)销售（经营）费用预算表'!J15+'[4]17)销售（经营）费用预算表'!J15+'[5]17)销售（经营）费用预算表'!J15</f>
        <v>0</v>
      </c>
      <c r="K15" s="11">
        <f>'[3]16)销售（经营）费用预算表'!K15+'[4]17)销售（经营）费用预算表'!K15+'[5]17)销售（经营）费用预算表'!K15</f>
        <v>0</v>
      </c>
      <c r="L15" s="41">
        <f t="shared" si="8"/>
        <v>0</v>
      </c>
      <c r="M15" s="5"/>
    </row>
    <row r="16" spans="1:13" ht="18" customHeight="1">
      <c r="A16" s="72" t="s">
        <v>777</v>
      </c>
      <c r="B16" s="11">
        <f>'[3]16)销售（经营）费用预算表'!B16+'[4]17)销售（经营）费用预算表'!B16+'[5]17)销售（经营）费用预算表'!B16</f>
        <v>1400</v>
      </c>
      <c r="C16" s="11">
        <f>'[3]16)销售（经营）费用预算表'!C16+'[4]17)销售（经营）费用预算表'!C16+'[5]17)销售（经营）费用预算表'!C16</f>
        <v>312</v>
      </c>
      <c r="D16" s="11">
        <f>'[3]16)销售（经营）费用预算表'!D16+'[4]17)销售（经营）费用预算表'!D16+'[5]17)销售（经营）费用预算表'!D16</f>
        <v>300</v>
      </c>
      <c r="E16" s="11">
        <f t="shared" si="5"/>
        <v>612</v>
      </c>
      <c r="F16" s="91">
        <f t="shared" si="6"/>
        <v>0.43714285714285717</v>
      </c>
      <c r="G16" s="11">
        <f t="shared" si="7"/>
        <v>0</v>
      </c>
      <c r="H16" s="11">
        <f>'[3]16)销售（经营）费用预算表'!H16+'[4]17)销售（经营）费用预算表'!H16+'[5]17)销售（经营）费用预算表'!H16</f>
        <v>0</v>
      </c>
      <c r="I16" s="11">
        <f>'[3]16)销售（经营）费用预算表'!I16+'[4]17)销售（经营）费用预算表'!I16+'[5]17)销售（经营）费用预算表'!I16</f>
        <v>0</v>
      </c>
      <c r="J16" s="11">
        <f>'[3]16)销售（经营）费用预算表'!J16+'[4]17)销售（经营）费用预算表'!J16+'[5]17)销售（经营）费用预算表'!J16</f>
        <v>0</v>
      </c>
      <c r="K16" s="11">
        <f>'[3]16)销售（经营）费用预算表'!K16+'[4]17)销售（经营）费用预算表'!K16+'[5]17)销售（经营）费用预算表'!K16</f>
        <v>0</v>
      </c>
      <c r="L16" s="41">
        <f t="shared" si="8"/>
        <v>0</v>
      </c>
      <c r="M16" s="5"/>
    </row>
    <row r="17" spans="1:13" ht="18" customHeight="1">
      <c r="A17" s="72" t="s">
        <v>778</v>
      </c>
      <c r="B17" s="11">
        <f>'[3]16)销售（经营）费用预算表'!B17+'[4]17)销售（经营）费用预算表'!B17+'[5]17)销售（经营）费用预算表'!B17</f>
        <v>27893.4</v>
      </c>
      <c r="C17" s="11">
        <f>'[3]16)销售（经营）费用预算表'!C17+'[4]17)销售（经营）费用预算表'!C17+'[5]17)销售（经营）费用预算表'!C17</f>
        <v>20953.17</v>
      </c>
      <c r="D17" s="11">
        <f>'[3]16)销售（经营）费用预算表'!D17+'[4]17)销售（经营）费用预算表'!D17+'[5]17)销售（经营）费用预算表'!D17</f>
        <v>7496.83</v>
      </c>
      <c r="E17" s="11">
        <f t="shared" si="5"/>
        <v>28450</v>
      </c>
      <c r="F17" s="91">
        <f t="shared" si="6"/>
        <v>1.0199545412176356</v>
      </c>
      <c r="G17" s="11">
        <f t="shared" si="7"/>
        <v>31402.320000000003</v>
      </c>
      <c r="H17" s="11">
        <f>'[3]16)销售（经营）费用预算表'!H17+'[4]17)销售（经营）费用预算表'!H17+'[5]17)销售（经营）费用预算表'!H17</f>
        <v>7850.580000000001</v>
      </c>
      <c r="I17" s="11">
        <f>'[3]16)销售（经营）费用预算表'!I17+'[4]17)销售（经营）费用预算表'!I17+'[5]17)销售（经营）费用预算表'!I17</f>
        <v>7850.580000000001</v>
      </c>
      <c r="J17" s="11">
        <f>'[3]16)销售（经营）费用预算表'!J17+'[4]17)销售（经营）费用预算表'!J17+'[5]17)销售（经营）费用预算表'!J17</f>
        <v>7850.580000000001</v>
      </c>
      <c r="K17" s="11">
        <f>'[3]16)销售（经营）费用预算表'!K17+'[4]17)销售（经营）费用预算表'!K17+'[5]17)销售（经营）费用预算表'!K17</f>
        <v>7850.580000000001</v>
      </c>
      <c r="L17" s="41">
        <f t="shared" si="8"/>
        <v>1.1037722319859404</v>
      </c>
      <c r="M17" s="5"/>
    </row>
    <row r="18" spans="1:13" ht="18" customHeight="1">
      <c r="A18" s="72" t="s">
        <v>779</v>
      </c>
      <c r="B18" s="11">
        <f>'[3]16)销售（经营）费用预算表'!B18+'[4]17)销售（经营）费用预算表'!B18+'[5]17)销售（经营）费用预算表'!B18</f>
        <v>12408</v>
      </c>
      <c r="C18" s="11">
        <f>'[3]16)销售（经营）费用预算表'!C18+'[4]17)销售（经营）费用预算表'!C18+'[5]17)销售（经营）费用预算表'!C18</f>
        <v>9288</v>
      </c>
      <c r="D18" s="11">
        <f>'[3]16)销售（经营）费用预算表'!D18+'[4]17)销售（经营）费用预算表'!D18+'[5]17)销售（经营）费用预算表'!D18</f>
        <v>3096</v>
      </c>
      <c r="E18" s="11">
        <f t="shared" si="5"/>
        <v>12384</v>
      </c>
      <c r="F18" s="91">
        <f t="shared" si="6"/>
        <v>0.9980657640232108</v>
      </c>
      <c r="G18" s="11">
        <f t="shared" si="7"/>
        <v>14412</v>
      </c>
      <c r="H18" s="11">
        <f>'[3]16)销售（经营）费用预算表'!H18+'[4]17)销售（经营）费用预算表'!H18+'[5]17)销售（经营）费用预算表'!H18</f>
        <v>3603</v>
      </c>
      <c r="I18" s="11">
        <f>'[3]16)销售（经营）费用预算表'!I18+'[4]17)销售（经营）费用预算表'!I18+'[5]17)销售（经营）费用预算表'!I18</f>
        <v>3603</v>
      </c>
      <c r="J18" s="11">
        <f>'[3]16)销售（经营）费用预算表'!J18+'[4]17)销售（经营）费用预算表'!J18+'[5]17)销售（经营）费用预算表'!J18</f>
        <v>3603</v>
      </c>
      <c r="K18" s="11">
        <f>'[3]16)销售（经营）费用预算表'!K18+'[4]17)销售（经营）费用预算表'!K18+'[5]17)销售（经营）费用预算表'!K18</f>
        <v>3603</v>
      </c>
      <c r="L18" s="41">
        <f t="shared" si="8"/>
        <v>1.1637596899224807</v>
      </c>
      <c r="M18" s="5"/>
    </row>
    <row r="19" spans="1:13" ht="18" customHeight="1">
      <c r="A19" s="72" t="s">
        <v>780</v>
      </c>
      <c r="B19" s="11">
        <f>'[3]16)销售（经营）费用预算表'!B19+'[4]17)销售（经营）费用预算表'!B19+'[5]17)销售（经营）费用预算表'!B19</f>
        <v>2354.64</v>
      </c>
      <c r="C19" s="11">
        <f>'[3]16)销售（经营）费用预算表'!C19+'[4]17)销售（经营）费用预算表'!C19+'[5]17)销售（经营）费用预算表'!C19</f>
        <v>0</v>
      </c>
      <c r="D19" s="11">
        <f>'[3]16)销售（经营）费用预算表'!D19+'[4]17)销售（经营）费用预算表'!D19+'[5]17)销售（经营）费用预算表'!D19</f>
        <v>0</v>
      </c>
      <c r="E19" s="11">
        <f t="shared" si="5"/>
        <v>0</v>
      </c>
      <c r="F19" s="91">
        <f t="shared" si="6"/>
        <v>0</v>
      </c>
      <c r="G19" s="11">
        <f t="shared" si="7"/>
        <v>2369.04</v>
      </c>
      <c r="H19" s="11">
        <f>'[3]16)销售（经营）费用预算表'!H19+'[4]17)销售（经营）费用预算表'!H19+'[5]17)销售（经营）费用预算表'!H19</f>
        <v>592.26</v>
      </c>
      <c r="I19" s="11">
        <f>'[3]16)销售（经营）费用预算表'!I19+'[4]17)销售（经营）费用预算表'!I19+'[5]17)销售（经营）费用预算表'!I19</f>
        <v>592.26</v>
      </c>
      <c r="J19" s="11">
        <f>'[3]16)销售（经营）费用预算表'!J19+'[4]17)销售（经营）费用预算表'!J19+'[5]17)销售（经营）费用预算表'!J19</f>
        <v>592.26</v>
      </c>
      <c r="K19" s="11">
        <f>'[3]16)销售（经营）费用预算表'!K19+'[4]17)销售（经营）费用预算表'!K19+'[5]17)销售（经营）费用预算表'!K19</f>
        <v>592.26</v>
      </c>
      <c r="L19" s="41" t="e">
        <f t="shared" si="8"/>
        <v>#DIV/0!</v>
      </c>
      <c r="M19" s="5"/>
    </row>
    <row r="20" spans="1:13" ht="18" customHeight="1">
      <c r="A20" s="72" t="s">
        <v>781</v>
      </c>
      <c r="B20" s="11">
        <f>'[3]16)销售（经营）费用预算表'!B20+'[4]17)销售（经营）费用预算表'!B20+'[5]17)销售（经营）费用预算表'!B20</f>
        <v>3139.52</v>
      </c>
      <c r="C20" s="11">
        <f>'[3]16)销售（经营）费用预算表'!C20+'[4]17)销售（经营）费用预算表'!C20+'[5]17)销售（经营）费用预算表'!C20</f>
        <v>0</v>
      </c>
      <c r="D20" s="11">
        <f>'[3]16)销售（经营）费用预算表'!D20+'[4]17)销售（经营）费用预算表'!D20+'[5]17)销售（经营）费用预算表'!D20</f>
        <v>0</v>
      </c>
      <c r="E20" s="11">
        <f t="shared" si="5"/>
        <v>0</v>
      </c>
      <c r="F20" s="91">
        <f t="shared" si="6"/>
        <v>0</v>
      </c>
      <c r="G20" s="11">
        <f t="shared" si="7"/>
        <v>3158.7200000000003</v>
      </c>
      <c r="H20" s="11">
        <f>'[3]16)销售（经营）费用预算表'!H20+'[4]17)销售（经营）费用预算表'!H20+'[5]17)销售（经营）费用预算表'!H20</f>
        <v>789.6800000000001</v>
      </c>
      <c r="I20" s="11">
        <f>'[3]16)销售（经营）费用预算表'!I20+'[4]17)销售（经营）费用预算表'!I20+'[5]17)销售（经营）费用预算表'!I20</f>
        <v>789.6800000000001</v>
      </c>
      <c r="J20" s="11">
        <f>'[3]16)销售（经营）费用预算表'!J20+'[4]17)销售（经营）费用预算表'!J20+'[5]17)销售（经营）费用预算表'!J20</f>
        <v>789.6800000000001</v>
      </c>
      <c r="K20" s="11">
        <f>'[3]16)销售（经营）费用预算表'!K20+'[4]17)销售（经营）费用预算表'!K20+'[5]17)销售（经营）费用预算表'!K20</f>
        <v>789.6800000000001</v>
      </c>
      <c r="L20" s="41" t="e">
        <f t="shared" si="8"/>
        <v>#DIV/0!</v>
      </c>
      <c r="M20" s="5"/>
    </row>
    <row r="21" spans="1:13" ht="18" customHeight="1">
      <c r="A21" s="25" t="s">
        <v>782</v>
      </c>
      <c r="B21" s="11">
        <f>'[3]16)销售（经营）费用预算表'!B21+'[4]17)销售（经营）费用预算表'!B21+'[5]17)销售（经营）费用预算表'!B21</f>
        <v>0</v>
      </c>
      <c r="C21" s="11">
        <f>'[3]16)销售（经营）费用预算表'!C21+'[4]17)销售（经营）费用预算表'!C21+'[5]17)销售（经营）费用预算表'!C21</f>
        <v>0</v>
      </c>
      <c r="D21" s="11">
        <f>'[3]16)销售（经营）费用预算表'!D21+'[4]17)销售（经营）费用预算表'!D21+'[5]17)销售（经营）费用预算表'!D21</f>
        <v>0</v>
      </c>
      <c r="E21" s="11">
        <f t="shared" si="5"/>
        <v>0</v>
      </c>
      <c r="F21" s="91" t="e">
        <f t="shared" si="6"/>
        <v>#DIV/0!</v>
      </c>
      <c r="G21" s="11">
        <f t="shared" si="7"/>
        <v>0</v>
      </c>
      <c r="H21" s="11">
        <f>'[3]16)销售（经营）费用预算表'!H21+'[4]17)销售（经营）费用预算表'!H21+'[5]17)销售（经营）费用预算表'!H21</f>
        <v>0</v>
      </c>
      <c r="I21" s="11">
        <f>'[3]16)销售（经营）费用预算表'!I21+'[4]17)销售（经营）费用预算表'!I21+'[5]17)销售（经营）费用预算表'!I21</f>
        <v>0</v>
      </c>
      <c r="J21" s="11">
        <f>'[3]16)销售（经营）费用预算表'!J21+'[4]17)销售（经营）费用预算表'!J21+'[5]17)销售（经营）费用预算表'!J21</f>
        <v>0</v>
      </c>
      <c r="K21" s="11">
        <f>'[3]16)销售（经营）费用预算表'!K21+'[4]17)销售（经营）费用预算表'!K21+'[5]17)销售（经营）费用预算表'!K21</f>
        <v>0</v>
      </c>
      <c r="L21" s="41" t="e">
        <f t="shared" si="8"/>
        <v>#DIV/0!</v>
      </c>
      <c r="M21" s="5"/>
    </row>
    <row r="22" spans="1:13" ht="18" customHeight="1">
      <c r="A22" s="25" t="s">
        <v>783</v>
      </c>
      <c r="B22" s="11">
        <f>SUM(B23:B44)</f>
        <v>278176</v>
      </c>
      <c r="C22" s="11">
        <f>SUM(C23:C44)</f>
        <v>3672.75</v>
      </c>
      <c r="D22" s="11">
        <f>SUM(D23:D44)</f>
        <v>1737.48</v>
      </c>
      <c r="E22" s="11">
        <f>SUM(E23:E44)</f>
        <v>5410.23</v>
      </c>
      <c r="F22" s="91">
        <f t="shared" si="6"/>
        <v>0.019448945991027262</v>
      </c>
      <c r="G22" s="11">
        <f>SUM(G23:G44)</f>
        <v>159360</v>
      </c>
      <c r="H22" s="11">
        <f>SUM(H23:H44)</f>
        <v>39840</v>
      </c>
      <c r="I22" s="11">
        <f>SUM(I23:I44)</f>
        <v>39840</v>
      </c>
      <c r="J22" s="11">
        <f>SUM(J23:J44)</f>
        <v>39840</v>
      </c>
      <c r="K22" s="11">
        <f>SUM(K23:K44)</f>
        <v>39840</v>
      </c>
      <c r="L22" s="41">
        <f t="shared" si="8"/>
        <v>29.45530966335997</v>
      </c>
      <c r="M22" s="5"/>
    </row>
    <row r="23" spans="1:13" ht="18" customHeight="1">
      <c r="A23" s="25" t="s">
        <v>784</v>
      </c>
      <c r="B23" s="11">
        <f>'[3]16)销售（经营）费用预算表'!B23+'[4]17)销售（经营）费用预算表'!B23+'[5]17)销售（经营）费用预算表'!B23</f>
        <v>800</v>
      </c>
      <c r="C23" s="11">
        <f>'[3]16)销售（经营）费用预算表'!C23+'[4]17)销售（经营）费用预算表'!C23+'[5]17)销售（经营）费用预算表'!C23</f>
        <v>2208</v>
      </c>
      <c r="D23" s="11">
        <f>'[3]16)销售（经营）费用预算表'!D23+'[4]17)销售（经营）费用预算表'!D23+'[5]17)销售（经营）费用预算表'!D23</f>
        <v>1000</v>
      </c>
      <c r="E23" s="11">
        <f>C23+D23</f>
        <v>3208</v>
      </c>
      <c r="F23" s="91">
        <f t="shared" si="6"/>
        <v>4.01</v>
      </c>
      <c r="G23" s="11">
        <f>SUM(H23:K23)</f>
        <v>4000</v>
      </c>
      <c r="H23" s="11">
        <f>'[3]16)销售（经营）费用预算表'!H23+'[4]17)销售（经营）费用预算表'!H23+'[5]17)销售（经营）费用预算表'!H23</f>
        <v>1000</v>
      </c>
      <c r="I23" s="11">
        <f>'[3]16)销售（经营）费用预算表'!I23+'[4]17)销售（经营）费用预算表'!I23+'[5]17)销售（经营）费用预算表'!I23</f>
        <v>1000</v>
      </c>
      <c r="J23" s="11">
        <f>'[3]16)销售（经营）费用预算表'!J23+'[4]17)销售（经营）费用预算表'!J23+'[5]17)销售（经营）费用预算表'!J23</f>
        <v>1000</v>
      </c>
      <c r="K23" s="11">
        <f>'[3]16)销售（经营）费用预算表'!K23+'[4]17)销售（经营）费用预算表'!K23+'[5]17)销售（经营）费用预算表'!K23</f>
        <v>1000</v>
      </c>
      <c r="L23" s="41">
        <f t="shared" si="8"/>
        <v>1.2468827930174564</v>
      </c>
      <c r="M23" s="5"/>
    </row>
    <row r="24" spans="1:13" ht="18" customHeight="1">
      <c r="A24" s="25" t="s">
        <v>785</v>
      </c>
      <c r="B24" s="11">
        <f>'[3]16)销售（经营）费用预算表'!B24+'[4]17)销售（经营）费用预算表'!B24+'[5]17)销售（经营）费用预算表'!B24</f>
        <v>5376</v>
      </c>
      <c r="C24" s="11">
        <f>'[3]16)销售（经营）费用预算表'!C24+'[4]17)销售（经营）费用预算表'!C24+'[5]17)销售（经营）费用预算表'!C24</f>
        <v>560</v>
      </c>
      <c r="D24" s="11">
        <f>'[3]16)销售（经营）费用预算表'!D24+'[4]17)销售（经营）费用预算表'!D24+'[5]17)销售（经营）费用预算表'!D24</f>
        <v>476</v>
      </c>
      <c r="E24" s="11">
        <f aca="true" t="shared" si="9" ref="E24:E44">C24+D24</f>
        <v>1036</v>
      </c>
      <c r="F24" s="91">
        <f t="shared" si="6"/>
        <v>0.19270833333333334</v>
      </c>
      <c r="G24" s="11">
        <f aca="true" t="shared" si="10" ref="G24:G44">SUM(H24:K24)</f>
        <v>3360</v>
      </c>
      <c r="H24" s="11">
        <f>'[3]16)销售（经营）费用预算表'!H24+'[4]17)销售（经营）费用预算表'!H24+'[5]17)销售（经营）费用预算表'!H24</f>
        <v>840</v>
      </c>
      <c r="I24" s="11">
        <f>'[3]16)销售（经营）费用预算表'!I24+'[4]17)销售（经营）费用预算表'!I24+'[5]17)销售（经营）费用预算表'!I24</f>
        <v>840</v>
      </c>
      <c r="J24" s="11">
        <f>'[3]16)销售（经营）费用预算表'!J24+'[4]17)销售（经营）费用预算表'!J24+'[5]17)销售（经营）费用预算表'!J24</f>
        <v>840</v>
      </c>
      <c r="K24" s="11">
        <f>'[3]16)销售（经营）费用预算表'!K24+'[4]17)销售（经营）费用预算表'!K24+'[5]17)销售（经营）费用预算表'!K24</f>
        <v>840</v>
      </c>
      <c r="L24" s="41">
        <f t="shared" si="8"/>
        <v>3.2432432432432434</v>
      </c>
      <c r="M24" s="5"/>
    </row>
    <row r="25" spans="1:13" ht="18" customHeight="1">
      <c r="A25" s="25" t="s">
        <v>786</v>
      </c>
      <c r="B25" s="11">
        <f>'[3]16)销售（经营）费用预算表'!B25+'[4]17)销售（经营）费用预算表'!B25+'[5]17)销售（经营）费用预算表'!B25</f>
        <v>4000</v>
      </c>
      <c r="C25" s="11">
        <f>'[3]16)销售（经营）费用预算表'!C25+'[4]17)销售（经营）费用预算表'!C25+'[5]17)销售（经营）费用预算表'!C25</f>
        <v>0</v>
      </c>
      <c r="D25" s="11">
        <f>'[3]16)销售（经营）费用预算表'!D25+'[4]17)销售（经营）费用预算表'!D25+'[5]17)销售（经营）费用预算表'!D25</f>
        <v>0</v>
      </c>
      <c r="E25" s="11">
        <f t="shared" si="9"/>
        <v>0</v>
      </c>
      <c r="F25" s="91">
        <f t="shared" si="6"/>
        <v>0</v>
      </c>
      <c r="G25" s="11">
        <f t="shared" si="10"/>
        <v>4000</v>
      </c>
      <c r="H25" s="11">
        <f>'[3]16)销售（经营）费用预算表'!H25+'[4]17)销售（经营）费用预算表'!H25+'[5]17)销售（经营）费用预算表'!H25</f>
        <v>1000</v>
      </c>
      <c r="I25" s="11">
        <f>'[3]16)销售（经营）费用预算表'!I25+'[4]17)销售（经营）费用预算表'!I25+'[5]17)销售（经营）费用预算表'!I25</f>
        <v>1000</v>
      </c>
      <c r="J25" s="11">
        <f>'[3]16)销售（经营）费用预算表'!J25+'[4]17)销售（经营）费用预算表'!J25+'[5]17)销售（经营）费用预算表'!J25</f>
        <v>1000</v>
      </c>
      <c r="K25" s="11">
        <f>'[3]16)销售（经营）费用预算表'!K25+'[4]17)销售（经营）费用预算表'!K25+'[5]17)销售（经营）费用预算表'!K25</f>
        <v>1000</v>
      </c>
      <c r="L25" s="41" t="e">
        <f t="shared" si="8"/>
        <v>#DIV/0!</v>
      </c>
      <c r="M25" s="5"/>
    </row>
    <row r="26" spans="1:13" ht="18" customHeight="1">
      <c r="A26" s="25" t="s">
        <v>787</v>
      </c>
      <c r="B26" s="11">
        <f>'[3]16)销售（经营）费用预算表'!B26+'[4]17)销售（经营）费用预算表'!B26+'[5]17)销售（经营）费用预算表'!B26</f>
        <v>0</v>
      </c>
      <c r="C26" s="11">
        <f>'[3]16)销售（经营）费用预算表'!C26+'[4]17)销售（经营）费用预算表'!C26+'[5]17)销售（经营）费用预算表'!C26</f>
        <v>0</v>
      </c>
      <c r="D26" s="11">
        <f>'[3]16)销售（经营）费用预算表'!D26+'[4]17)销售（经营）费用预算表'!D26+'[5]17)销售（经营）费用预算表'!D26</f>
        <v>0</v>
      </c>
      <c r="E26" s="11">
        <f t="shared" si="9"/>
        <v>0</v>
      </c>
      <c r="F26" s="91" t="e">
        <f t="shared" si="6"/>
        <v>#DIV/0!</v>
      </c>
      <c r="G26" s="11">
        <f t="shared" si="10"/>
        <v>0</v>
      </c>
      <c r="H26" s="11">
        <f>'[3]16)销售（经营）费用预算表'!H26+'[4]17)销售（经营）费用预算表'!H26+'[5]17)销售（经营）费用预算表'!H26</f>
        <v>0</v>
      </c>
      <c r="I26" s="11">
        <f>'[3]16)销售（经营）费用预算表'!I26+'[4]17)销售（经营）费用预算表'!I26+'[5]17)销售（经营）费用预算表'!I26</f>
        <v>0</v>
      </c>
      <c r="J26" s="11">
        <f>'[3]16)销售（经营）费用预算表'!J26+'[4]17)销售（经营）费用预算表'!J26+'[5]17)销售（经营）费用预算表'!J26</f>
        <v>0</v>
      </c>
      <c r="K26" s="11">
        <f>'[3]16)销售（经营）费用预算表'!K26+'[4]17)销售（经营）费用预算表'!K26+'[5]17)销售（经营）费用预算表'!K26</f>
        <v>0</v>
      </c>
      <c r="L26" s="41" t="e">
        <f t="shared" si="8"/>
        <v>#DIV/0!</v>
      </c>
      <c r="M26" s="5"/>
    </row>
    <row r="27" spans="1:13" ht="18" customHeight="1">
      <c r="A27" s="25" t="s">
        <v>788</v>
      </c>
      <c r="B27" s="11">
        <f>'[3]16)销售（经营）费用预算表'!B27+'[4]17)销售（经营）费用预算表'!B27+'[5]17)销售（经营）费用预算表'!B27</f>
        <v>0</v>
      </c>
      <c r="C27" s="11">
        <f>'[3]16)销售（经营）费用预算表'!C27+'[4]17)销售（经营）费用预算表'!C27+'[5]17)销售（经营）费用预算表'!C27</f>
        <v>0</v>
      </c>
      <c r="D27" s="11">
        <f>'[3]16)销售（经营）费用预算表'!D27+'[4]17)销售（经营）费用预算表'!D27+'[5]17)销售（经营）费用预算表'!D27</f>
        <v>0</v>
      </c>
      <c r="E27" s="11">
        <f t="shared" si="9"/>
        <v>0</v>
      </c>
      <c r="F27" s="91" t="e">
        <f t="shared" si="6"/>
        <v>#DIV/0!</v>
      </c>
      <c r="G27" s="11">
        <f t="shared" si="10"/>
        <v>0</v>
      </c>
      <c r="H27" s="11">
        <f>'[3]16)销售（经营）费用预算表'!H27+'[4]17)销售（经营）费用预算表'!H27+'[5]17)销售（经营）费用预算表'!H27</f>
        <v>0</v>
      </c>
      <c r="I27" s="11">
        <f>'[3]16)销售（经营）费用预算表'!I27+'[4]17)销售（经营）费用预算表'!I27+'[5]17)销售（经营）费用预算表'!I27</f>
        <v>0</v>
      </c>
      <c r="J27" s="11">
        <f>'[3]16)销售（经营）费用预算表'!J27+'[4]17)销售（经营）费用预算表'!J27+'[5]17)销售（经营）费用预算表'!J27</f>
        <v>0</v>
      </c>
      <c r="K27" s="11">
        <f>'[3]16)销售（经营）费用预算表'!K27+'[4]17)销售（经营）费用预算表'!K27+'[5]17)销售（经营）费用预算表'!K27</f>
        <v>0</v>
      </c>
      <c r="L27" s="41" t="e">
        <f t="shared" si="8"/>
        <v>#DIV/0!</v>
      </c>
      <c r="M27" s="5"/>
    </row>
    <row r="28" spans="1:13" ht="18" customHeight="1">
      <c r="A28" s="25" t="s">
        <v>789</v>
      </c>
      <c r="B28" s="11">
        <f>'[3]16)销售（经营）费用预算表'!B28+'[4]17)销售（经营）费用预算表'!B28+'[5]17)销售（经营）费用预算表'!B28</f>
        <v>20000</v>
      </c>
      <c r="C28" s="11">
        <f>'[3]16)销售（经营）费用预算表'!C28+'[4]17)销售（经营）费用预算表'!C28+'[5]17)销售（经营）费用预算表'!C28</f>
        <v>0</v>
      </c>
      <c r="D28" s="11">
        <f>'[3]16)销售（经营）费用预算表'!D28+'[4]17)销售（经营）费用预算表'!D28+'[5]17)销售（经营）费用预算表'!D28</f>
        <v>0</v>
      </c>
      <c r="E28" s="11">
        <f t="shared" si="9"/>
        <v>0</v>
      </c>
      <c r="F28" s="91">
        <f t="shared" si="6"/>
        <v>0</v>
      </c>
      <c r="G28" s="11">
        <f t="shared" si="10"/>
        <v>20000</v>
      </c>
      <c r="H28" s="11">
        <f>'[3]16)销售（经营）费用预算表'!H28+'[4]17)销售（经营）费用预算表'!H28+'[5]17)销售（经营）费用预算表'!H28</f>
        <v>5000</v>
      </c>
      <c r="I28" s="11">
        <f>'[3]16)销售（经营）费用预算表'!I28+'[4]17)销售（经营）费用预算表'!I28+'[5]17)销售（经营）费用预算表'!I28</f>
        <v>5000</v>
      </c>
      <c r="J28" s="11">
        <f>'[3]16)销售（经营）费用预算表'!J28+'[4]17)销售（经营）费用预算表'!J28+'[5]17)销售（经营）费用预算表'!J28</f>
        <v>5000</v>
      </c>
      <c r="K28" s="11">
        <f>'[3]16)销售（经营）费用预算表'!K28+'[4]17)销售（经营）费用预算表'!K28+'[5]17)销售（经营）费用预算表'!K28</f>
        <v>5000</v>
      </c>
      <c r="L28" s="41" t="e">
        <f t="shared" si="8"/>
        <v>#DIV/0!</v>
      </c>
      <c r="M28" s="5"/>
    </row>
    <row r="29" spans="1:13" ht="18" customHeight="1">
      <c r="A29" s="25" t="s">
        <v>790</v>
      </c>
      <c r="B29" s="11">
        <f>'[3]16)销售（经营）费用预算表'!B29+'[4]17)销售（经营）费用预算表'!B29+'[5]17)销售（经营）费用预算表'!B29</f>
        <v>0</v>
      </c>
      <c r="C29" s="11">
        <f>'[3]16)销售（经营）费用预算表'!C29+'[4]17)销售（经营）费用预算表'!C29+'[5]17)销售（经营）费用预算表'!C29</f>
        <v>0</v>
      </c>
      <c r="D29" s="11">
        <f>'[3]16)销售（经营）费用预算表'!D29+'[4]17)销售（经营）费用预算表'!D29+'[5]17)销售（经营）费用预算表'!D29</f>
        <v>0</v>
      </c>
      <c r="E29" s="11">
        <f t="shared" si="9"/>
        <v>0</v>
      </c>
      <c r="F29" s="91" t="e">
        <f t="shared" si="6"/>
        <v>#DIV/0!</v>
      </c>
      <c r="G29" s="11">
        <f t="shared" si="10"/>
        <v>0</v>
      </c>
      <c r="H29" s="11">
        <f>'[3]16)销售（经营）费用预算表'!H29+'[4]17)销售（经营）费用预算表'!H29+'[5]17)销售（经营）费用预算表'!H29</f>
        <v>0</v>
      </c>
      <c r="I29" s="11">
        <f>'[3]16)销售（经营）费用预算表'!I29+'[4]17)销售（经营）费用预算表'!I29+'[5]17)销售（经营）费用预算表'!I29</f>
        <v>0</v>
      </c>
      <c r="J29" s="11">
        <f>'[3]16)销售（经营）费用预算表'!J29+'[4]17)销售（经营）费用预算表'!J29+'[5]17)销售（经营）费用预算表'!J29</f>
        <v>0</v>
      </c>
      <c r="K29" s="11">
        <f>'[3]16)销售（经营）费用预算表'!K29+'[4]17)销售（经营）费用预算表'!K29+'[5]17)销售（经营）费用预算表'!K29</f>
        <v>0</v>
      </c>
      <c r="L29" s="41" t="e">
        <f t="shared" si="8"/>
        <v>#DIV/0!</v>
      </c>
      <c r="M29" s="5"/>
    </row>
    <row r="30" spans="1:13" ht="18" customHeight="1">
      <c r="A30" s="25" t="s">
        <v>791</v>
      </c>
      <c r="B30" s="11">
        <f>'[3]16)销售（经营）费用预算表'!B30+'[4]17)销售（经营）费用预算表'!B30+'[5]17)销售（经营）费用预算表'!B30</f>
        <v>40000</v>
      </c>
      <c r="C30" s="11">
        <f>'[3]16)销售（经营）费用预算表'!C30+'[4]17)销售（经营）费用预算表'!C30+'[5]17)销售（经营）费用预算表'!C30</f>
        <v>0</v>
      </c>
      <c r="D30" s="11">
        <f>'[3]16)销售（经营）费用预算表'!D30+'[4]17)销售（经营）费用预算表'!D30+'[5]17)销售（经营）费用预算表'!D30</f>
        <v>0</v>
      </c>
      <c r="E30" s="11">
        <f t="shared" si="9"/>
        <v>0</v>
      </c>
      <c r="F30" s="91">
        <f t="shared" si="6"/>
        <v>0</v>
      </c>
      <c r="G30" s="11">
        <f t="shared" si="10"/>
        <v>40000</v>
      </c>
      <c r="H30" s="11">
        <f>'[3]16)销售（经营）费用预算表'!H30+'[4]17)销售（经营）费用预算表'!H30+'[5]17)销售（经营）费用预算表'!H30</f>
        <v>10000</v>
      </c>
      <c r="I30" s="11">
        <f>'[3]16)销售（经营）费用预算表'!I30+'[4]17)销售（经营）费用预算表'!I30+'[5]17)销售（经营）费用预算表'!I30</f>
        <v>10000</v>
      </c>
      <c r="J30" s="11">
        <f>'[3]16)销售（经营）费用预算表'!J30+'[4]17)销售（经营）费用预算表'!J30+'[5]17)销售（经营）费用预算表'!J30</f>
        <v>10000</v>
      </c>
      <c r="K30" s="11">
        <f>'[3]16)销售（经营）费用预算表'!K30+'[4]17)销售（经营）费用预算表'!K30+'[5]17)销售（经营）费用预算表'!K30</f>
        <v>10000</v>
      </c>
      <c r="L30" s="41" t="e">
        <f t="shared" si="8"/>
        <v>#DIV/0!</v>
      </c>
      <c r="M30" s="5"/>
    </row>
    <row r="31" spans="1:13" ht="18" customHeight="1">
      <c r="A31" s="25" t="s">
        <v>792</v>
      </c>
      <c r="B31" s="11">
        <f>'[3]16)销售（经营）费用预算表'!B31+'[4]17)销售（经营）费用预算表'!B31+'[5]17)销售（经营）费用预算表'!B31</f>
        <v>40000</v>
      </c>
      <c r="C31" s="11">
        <f>'[3]16)销售（经营）费用预算表'!C31+'[4]17)销售（经营）费用预算表'!C31+'[5]17)销售（经营）费用预算表'!C31</f>
        <v>0</v>
      </c>
      <c r="D31" s="11">
        <f>'[3]16)销售（经营）费用预算表'!D31+'[4]17)销售（经营）费用预算表'!D31+'[5]17)销售（经营）费用预算表'!D31</f>
        <v>0</v>
      </c>
      <c r="E31" s="11">
        <f t="shared" si="9"/>
        <v>0</v>
      </c>
      <c r="F31" s="91">
        <f t="shared" si="6"/>
        <v>0</v>
      </c>
      <c r="G31" s="11">
        <f t="shared" si="10"/>
        <v>40000</v>
      </c>
      <c r="H31" s="11">
        <f>'[3]16)销售（经营）费用预算表'!H31+'[4]17)销售（经营）费用预算表'!H31+'[5]17)销售（经营）费用预算表'!H31</f>
        <v>10000</v>
      </c>
      <c r="I31" s="11">
        <f>'[3]16)销售（经营）费用预算表'!I31+'[4]17)销售（经营）费用预算表'!I31+'[5]17)销售（经营）费用预算表'!I31</f>
        <v>10000</v>
      </c>
      <c r="J31" s="11">
        <f>'[3]16)销售（经营）费用预算表'!J31+'[4]17)销售（经营）费用预算表'!J31+'[5]17)销售（经营）费用预算表'!J31</f>
        <v>10000</v>
      </c>
      <c r="K31" s="11">
        <f>'[3]16)销售（经营）费用预算表'!K31+'[4]17)销售（经营）费用预算表'!K31+'[5]17)销售（经营）费用预算表'!K31</f>
        <v>10000</v>
      </c>
      <c r="L31" s="41" t="e">
        <f t="shared" si="8"/>
        <v>#DIV/0!</v>
      </c>
      <c r="M31" s="5"/>
    </row>
    <row r="32" spans="1:13" ht="18" customHeight="1">
      <c r="A32" s="25" t="s">
        <v>793</v>
      </c>
      <c r="B32" s="11">
        <f>'[3]16)销售（经营）费用预算表'!B32+'[4]17)销售（经营）费用预算表'!B32+'[5]17)销售（经营）费用预算表'!B32</f>
        <v>0</v>
      </c>
      <c r="C32" s="11">
        <f>'[3]16)销售（经营）费用预算表'!C32+'[4]17)销售（经营）费用预算表'!C32+'[5]17)销售（经营）费用预算表'!C32</f>
        <v>256.75</v>
      </c>
      <c r="D32" s="11">
        <f>'[3]16)销售（经营）费用预算表'!D32+'[4]17)销售（经营）费用预算表'!D32+'[5]17)销售（经营）费用预算表'!D32</f>
        <v>0</v>
      </c>
      <c r="E32" s="11">
        <f t="shared" si="9"/>
        <v>256.75</v>
      </c>
      <c r="F32" s="91" t="e">
        <f t="shared" si="6"/>
        <v>#DIV/0!</v>
      </c>
      <c r="G32" s="11">
        <f t="shared" si="10"/>
        <v>0</v>
      </c>
      <c r="H32" s="11">
        <f>'[3]16)销售（经营）费用预算表'!H32+'[4]17)销售（经营）费用预算表'!H32+'[5]17)销售（经营）费用预算表'!H32</f>
        <v>0</v>
      </c>
      <c r="I32" s="11">
        <f>'[3]16)销售（经营）费用预算表'!I32+'[4]17)销售（经营）费用预算表'!I32+'[5]17)销售（经营）费用预算表'!I32</f>
        <v>0</v>
      </c>
      <c r="J32" s="11">
        <f>'[3]16)销售（经营）费用预算表'!J32+'[4]17)销售（经营）费用预算表'!J32+'[5]17)销售（经营）费用预算表'!J32</f>
        <v>0</v>
      </c>
      <c r="K32" s="11">
        <f>'[3]16)销售（经营）费用预算表'!K32+'[4]17)销售（经营）费用预算表'!K32+'[5]17)销售（经营）费用预算表'!K32</f>
        <v>0</v>
      </c>
      <c r="L32" s="41">
        <f t="shared" si="8"/>
        <v>0</v>
      </c>
      <c r="M32" s="5"/>
    </row>
    <row r="33" spans="1:13" ht="18" customHeight="1">
      <c r="A33" s="25" t="s">
        <v>794</v>
      </c>
      <c r="B33" s="11">
        <f>'[3]16)销售（经营）费用预算表'!B33+'[4]17)销售（经营）费用预算表'!B33+'[5]17)销售（经营）费用预算表'!B33</f>
        <v>120000</v>
      </c>
      <c r="C33" s="11">
        <f>'[3]16)销售（经营）费用预算表'!C33+'[4]17)销售（经营）费用预算表'!C33+'[5]17)销售（经营）费用预算表'!C33</f>
        <v>648</v>
      </c>
      <c r="D33" s="11">
        <f>'[3]16)销售（经营）费用预算表'!D33+'[4]17)销售（经营）费用预算表'!D33+'[5]17)销售（经营）费用预算表'!D33</f>
        <v>0</v>
      </c>
      <c r="E33" s="11">
        <f t="shared" si="9"/>
        <v>648</v>
      </c>
      <c r="F33" s="91">
        <f t="shared" si="6"/>
        <v>0.0054</v>
      </c>
      <c r="G33" s="11">
        <f t="shared" si="10"/>
        <v>0</v>
      </c>
      <c r="H33" s="11">
        <f>'[3]16)销售（经营）费用预算表'!H33+'[4]17)销售（经营）费用预算表'!H33+'[5]17)销售（经营）费用预算表'!H33</f>
        <v>0</v>
      </c>
      <c r="I33" s="11">
        <f>'[3]16)销售（经营）费用预算表'!I33+'[4]17)销售（经营）费用预算表'!I33+'[5]17)销售（经营）费用预算表'!I33</f>
        <v>0</v>
      </c>
      <c r="J33" s="11">
        <f>'[3]16)销售（经营）费用预算表'!J33+'[4]17)销售（经营）费用预算表'!J33+'[5]17)销售（经营）费用预算表'!J33</f>
        <v>0</v>
      </c>
      <c r="K33" s="11">
        <f>'[3]16)销售（经营）费用预算表'!K33+'[4]17)销售（经营）费用预算表'!K33+'[5]17)销售（经营）费用预算表'!K33</f>
        <v>0</v>
      </c>
      <c r="L33" s="41">
        <f t="shared" si="8"/>
        <v>0</v>
      </c>
      <c r="M33" s="5"/>
    </row>
    <row r="34" spans="1:13" ht="18" customHeight="1">
      <c r="A34" s="25" t="s">
        <v>795</v>
      </c>
      <c r="B34" s="11">
        <f>'[3]16)销售（经营）费用预算表'!B34+'[4]17)销售（经营）费用预算表'!B34+'[5]17)销售（经营）费用预算表'!B34</f>
        <v>0</v>
      </c>
      <c r="C34" s="11">
        <f>'[3]16)销售（经营）费用预算表'!C34+'[4]17)销售（经营）费用预算表'!C34+'[5]17)销售（经营）费用预算表'!C34</f>
        <v>0</v>
      </c>
      <c r="D34" s="11">
        <f>'[3]16)销售（经营）费用预算表'!D34+'[4]17)销售（经营）费用预算表'!D34+'[5]17)销售（经营）费用预算表'!D34</f>
        <v>0</v>
      </c>
      <c r="E34" s="11">
        <f t="shared" si="9"/>
        <v>0</v>
      </c>
      <c r="F34" s="91" t="e">
        <f t="shared" si="6"/>
        <v>#DIV/0!</v>
      </c>
      <c r="G34" s="11">
        <f t="shared" si="10"/>
        <v>0</v>
      </c>
      <c r="H34" s="11">
        <f>'[3]16)销售（经营）费用预算表'!H34+'[4]17)销售（经营）费用预算表'!H34+'[5]17)销售（经营）费用预算表'!H34</f>
        <v>0</v>
      </c>
      <c r="I34" s="11">
        <f>'[3]16)销售（经营）费用预算表'!I34+'[4]17)销售（经营）费用预算表'!I34+'[5]17)销售（经营）费用预算表'!I34</f>
        <v>0</v>
      </c>
      <c r="J34" s="11">
        <f>'[3]16)销售（经营）费用预算表'!J34+'[4]17)销售（经营）费用预算表'!J34+'[5]17)销售（经营）费用预算表'!J34</f>
        <v>0</v>
      </c>
      <c r="K34" s="11">
        <f>'[3]16)销售（经营）费用预算表'!K34+'[4]17)销售（经营）费用预算表'!K34+'[5]17)销售（经营）费用预算表'!K34</f>
        <v>0</v>
      </c>
      <c r="L34" s="41" t="e">
        <f t="shared" si="8"/>
        <v>#DIV/0!</v>
      </c>
      <c r="M34" s="5"/>
    </row>
    <row r="35" spans="1:13" ht="18" customHeight="1">
      <c r="A35" s="25" t="s">
        <v>796</v>
      </c>
      <c r="B35" s="11">
        <f>'[3]16)销售（经营）费用预算表'!B35+'[4]17)销售（经营）费用预算表'!B35+'[5]17)销售（经营）费用预算表'!B35</f>
        <v>8000</v>
      </c>
      <c r="C35" s="11">
        <f>'[3]16)销售（经营）费用预算表'!C35+'[4]17)销售（经营）费用预算表'!C35+'[5]17)销售（经营）费用预算表'!C35</f>
        <v>0</v>
      </c>
      <c r="D35" s="11">
        <f>'[3]16)销售（经营）费用预算表'!D35+'[4]17)销售（经营）费用预算表'!D35+'[5]17)销售（经营）费用预算表'!D35</f>
        <v>0</v>
      </c>
      <c r="E35" s="11">
        <f t="shared" si="9"/>
        <v>0</v>
      </c>
      <c r="F35" s="91">
        <f t="shared" si="6"/>
        <v>0</v>
      </c>
      <c r="G35" s="11">
        <f t="shared" si="10"/>
        <v>8000</v>
      </c>
      <c r="H35" s="11">
        <f>'[3]16)销售（经营）费用预算表'!H35+'[4]17)销售（经营）费用预算表'!H35+'[5]17)销售（经营）费用预算表'!H35</f>
        <v>2000</v>
      </c>
      <c r="I35" s="11">
        <f>'[3]16)销售（经营）费用预算表'!I35+'[4]17)销售（经营）费用预算表'!I35+'[5]17)销售（经营）费用预算表'!I35</f>
        <v>2000</v>
      </c>
      <c r="J35" s="11">
        <f>'[3]16)销售（经营）费用预算表'!J35+'[4]17)销售（经营）费用预算表'!J35+'[5]17)销售（经营）费用预算表'!J35</f>
        <v>2000</v>
      </c>
      <c r="K35" s="11">
        <f>'[3]16)销售（经营）费用预算表'!K35+'[4]17)销售（经营）费用预算表'!K35+'[5]17)销售（经营）费用预算表'!K35</f>
        <v>2000</v>
      </c>
      <c r="L35" s="41" t="e">
        <f t="shared" si="8"/>
        <v>#DIV/0!</v>
      </c>
      <c r="M35" s="5"/>
    </row>
    <row r="36" spans="1:13" ht="18" customHeight="1">
      <c r="A36" s="25" t="s">
        <v>797</v>
      </c>
      <c r="B36" s="11">
        <f>'[3]16)销售（经营）费用预算表'!B36+'[4]17)销售（经营）费用预算表'!B36+'[5]17)销售（经营）费用预算表'!B36</f>
        <v>0</v>
      </c>
      <c r="C36" s="11">
        <f>'[3]16)销售（经营）费用预算表'!C36+'[4]17)销售（经营）费用预算表'!C36+'[5]17)销售（经营）费用预算表'!C36</f>
        <v>0</v>
      </c>
      <c r="D36" s="11">
        <f>'[3]16)销售（经营）费用预算表'!D36+'[4]17)销售（经营）费用预算表'!D36+'[5]17)销售（经营）费用预算表'!D36</f>
        <v>0</v>
      </c>
      <c r="E36" s="11">
        <f t="shared" si="9"/>
        <v>0</v>
      </c>
      <c r="F36" s="91" t="e">
        <f t="shared" si="6"/>
        <v>#DIV/0!</v>
      </c>
      <c r="G36" s="11">
        <f t="shared" si="10"/>
        <v>0</v>
      </c>
      <c r="H36" s="11">
        <f>'[3]16)销售（经营）费用预算表'!H36+'[4]17)销售（经营）费用预算表'!H36+'[5]17)销售（经营）费用预算表'!H36</f>
        <v>0</v>
      </c>
      <c r="I36" s="11">
        <f>'[3]16)销售（经营）费用预算表'!I36+'[4]17)销售（经营）费用预算表'!I36+'[5]17)销售（经营）费用预算表'!I36</f>
        <v>0</v>
      </c>
      <c r="J36" s="11">
        <f>'[3]16)销售（经营）费用预算表'!J36+'[4]17)销售（经营）费用预算表'!J36+'[5]17)销售（经营）费用预算表'!J36</f>
        <v>0</v>
      </c>
      <c r="K36" s="11">
        <f>'[3]16)销售（经营）费用预算表'!K36+'[4]17)销售（经营）费用预算表'!K36+'[5]17)销售（经营）费用预算表'!K36</f>
        <v>0</v>
      </c>
      <c r="L36" s="41" t="e">
        <f t="shared" si="8"/>
        <v>#DIV/0!</v>
      </c>
      <c r="M36" s="5"/>
    </row>
    <row r="37" spans="1:13" ht="18" customHeight="1">
      <c r="A37" s="25" t="s">
        <v>798</v>
      </c>
      <c r="B37" s="11">
        <f>'[3]16)销售（经营）费用预算表'!B37+'[4]17)销售（经营）费用预算表'!B37+'[5]17)销售（经营）费用预算表'!B37</f>
        <v>0</v>
      </c>
      <c r="C37" s="11">
        <f>'[3]16)销售（经营）费用预算表'!C37+'[4]17)销售（经营）费用预算表'!C37+'[5]17)销售（经营）费用预算表'!C37</f>
        <v>0</v>
      </c>
      <c r="D37" s="11">
        <f>'[3]16)销售（经营）费用预算表'!D37+'[4]17)销售（经营）费用预算表'!D37+'[5]17)销售（经营）费用预算表'!D37</f>
        <v>0</v>
      </c>
      <c r="E37" s="11">
        <f t="shared" si="9"/>
        <v>0</v>
      </c>
      <c r="F37" s="91" t="e">
        <f t="shared" si="6"/>
        <v>#DIV/0!</v>
      </c>
      <c r="G37" s="11">
        <f t="shared" si="10"/>
        <v>0</v>
      </c>
      <c r="H37" s="11">
        <f>'[3]16)销售（经营）费用预算表'!H37+'[4]17)销售（经营）费用预算表'!H37+'[5]17)销售（经营）费用预算表'!H37</f>
        <v>0</v>
      </c>
      <c r="I37" s="11">
        <f>'[3]16)销售（经营）费用预算表'!I37+'[4]17)销售（经营）费用预算表'!I37+'[5]17)销售（经营）费用预算表'!I37</f>
        <v>0</v>
      </c>
      <c r="J37" s="11">
        <f>'[3]16)销售（经营）费用预算表'!J37+'[4]17)销售（经营）费用预算表'!J37+'[5]17)销售（经营）费用预算表'!J37</f>
        <v>0</v>
      </c>
      <c r="K37" s="11">
        <f>'[3]16)销售（经营）费用预算表'!K37+'[4]17)销售（经营）费用预算表'!K37+'[5]17)销售（经营）费用预算表'!K37</f>
        <v>0</v>
      </c>
      <c r="L37" s="41" t="e">
        <f t="shared" si="8"/>
        <v>#DIV/0!</v>
      </c>
      <c r="M37" s="5"/>
    </row>
    <row r="38" spans="1:13" ht="18" customHeight="1">
      <c r="A38" s="25" t="s">
        <v>799</v>
      </c>
      <c r="B38" s="11">
        <f>'[3]16)销售（经营）费用预算表'!B38+'[4]17)销售（经营）费用预算表'!B38+'[5]17)销售（经营）费用预算表'!B38</f>
        <v>0</v>
      </c>
      <c r="C38" s="11">
        <f>'[3]16)销售（经营）费用预算表'!C38+'[4]17)销售（经营）费用预算表'!C38+'[5]17)销售（经营）费用预算表'!C38</f>
        <v>0</v>
      </c>
      <c r="D38" s="11">
        <f>'[3]16)销售（经营）费用预算表'!D38+'[4]17)销售（经营）费用预算表'!D38+'[5]17)销售（经营）费用预算表'!D38</f>
        <v>0</v>
      </c>
      <c r="E38" s="11">
        <f t="shared" si="9"/>
        <v>0</v>
      </c>
      <c r="F38" s="91" t="e">
        <f t="shared" si="6"/>
        <v>#DIV/0!</v>
      </c>
      <c r="G38" s="11">
        <f t="shared" si="10"/>
        <v>0</v>
      </c>
      <c r="H38" s="11">
        <f>'[3]16)销售（经营）费用预算表'!H38+'[4]17)销售（经营）费用预算表'!H38+'[5]17)销售（经营）费用预算表'!H38</f>
        <v>0</v>
      </c>
      <c r="I38" s="11">
        <f>'[3]16)销售（经营）费用预算表'!I38+'[4]17)销售（经营）费用预算表'!I38+'[5]17)销售（经营）费用预算表'!I38</f>
        <v>0</v>
      </c>
      <c r="J38" s="11">
        <f>'[3]16)销售（经营）费用预算表'!J38+'[4]17)销售（经营）费用预算表'!J38+'[5]17)销售（经营）费用预算表'!J38</f>
        <v>0</v>
      </c>
      <c r="K38" s="11">
        <f>'[3]16)销售（经营）费用预算表'!K38+'[4]17)销售（经营）费用预算表'!K38+'[5]17)销售（经营）费用预算表'!K38</f>
        <v>0</v>
      </c>
      <c r="L38" s="41" t="e">
        <f t="shared" si="8"/>
        <v>#DIV/0!</v>
      </c>
      <c r="M38" s="5"/>
    </row>
    <row r="39" spans="1:13" ht="18" customHeight="1">
      <c r="A39" s="25" t="s">
        <v>800</v>
      </c>
      <c r="B39" s="11">
        <f>'[3]16)销售（经营）费用预算表'!B39+'[4]17)销售（经营）费用预算表'!B39+'[5]17)销售（经营）费用预算表'!B39</f>
        <v>40000</v>
      </c>
      <c r="C39" s="11">
        <f>'[3]16)销售（经营）费用预算表'!C39+'[4]17)销售（经营）费用预算表'!C39+'[5]17)销售（经营）费用预算表'!C39</f>
        <v>0</v>
      </c>
      <c r="D39" s="11">
        <f>'[3]16)销售（经营）费用预算表'!D39+'[4]17)销售（经营）费用预算表'!D39+'[5]17)销售（经营）费用预算表'!D39</f>
        <v>0</v>
      </c>
      <c r="E39" s="11">
        <f t="shared" si="9"/>
        <v>0</v>
      </c>
      <c r="F39" s="91">
        <f t="shared" si="6"/>
        <v>0</v>
      </c>
      <c r="G39" s="11">
        <f t="shared" si="10"/>
        <v>40000</v>
      </c>
      <c r="H39" s="11">
        <f>'[3]16)销售（经营）费用预算表'!H39+'[4]17)销售（经营）费用预算表'!H39+'[5]17)销售（经营）费用预算表'!H39</f>
        <v>10000</v>
      </c>
      <c r="I39" s="11">
        <f>'[3]16)销售（经营）费用预算表'!I39+'[4]17)销售（经营）费用预算表'!I39+'[5]17)销售（经营）费用预算表'!I39</f>
        <v>10000</v>
      </c>
      <c r="J39" s="11">
        <f>'[3]16)销售（经营）费用预算表'!J39+'[4]17)销售（经营）费用预算表'!J39+'[5]17)销售（经营）费用预算表'!J39</f>
        <v>10000</v>
      </c>
      <c r="K39" s="11">
        <f>'[3]16)销售（经营）费用预算表'!K39+'[4]17)销售（经营）费用预算表'!K39+'[5]17)销售（经营）费用预算表'!K39</f>
        <v>10000</v>
      </c>
      <c r="L39" s="41" t="e">
        <f t="shared" si="8"/>
        <v>#DIV/0!</v>
      </c>
      <c r="M39" s="5"/>
    </row>
    <row r="40" spans="1:13" ht="18" customHeight="1">
      <c r="A40" s="25" t="s">
        <v>801</v>
      </c>
      <c r="B40" s="11">
        <f>'[3]16)销售（经营）费用预算表'!B40+'[4]17)销售（经营）费用预算表'!B40+'[5]17)销售（经营）费用预算表'!B40</f>
        <v>0</v>
      </c>
      <c r="C40" s="11">
        <f>'[3]16)销售（经营）费用预算表'!C40+'[4]17)销售（经营）费用预算表'!C40+'[5]17)销售（经营）费用预算表'!C40</f>
        <v>0</v>
      </c>
      <c r="D40" s="11">
        <f>'[3]16)销售（经营）费用预算表'!D40+'[4]17)销售（经营）费用预算表'!D40+'[5]17)销售（经营）费用预算表'!D40</f>
        <v>0</v>
      </c>
      <c r="E40" s="11">
        <f t="shared" si="9"/>
        <v>0</v>
      </c>
      <c r="F40" s="91" t="e">
        <f t="shared" si="6"/>
        <v>#DIV/0!</v>
      </c>
      <c r="G40" s="11">
        <f t="shared" si="10"/>
        <v>0</v>
      </c>
      <c r="H40" s="11">
        <f>'[3]16)销售（经营）费用预算表'!H40+'[4]17)销售（经营）费用预算表'!H40+'[5]17)销售（经营）费用预算表'!H40</f>
        <v>0</v>
      </c>
      <c r="I40" s="11">
        <f>'[3]16)销售（经营）费用预算表'!I40+'[4]17)销售（经营）费用预算表'!I40+'[5]17)销售（经营）费用预算表'!I40</f>
        <v>0</v>
      </c>
      <c r="J40" s="11">
        <f>'[3]16)销售（经营）费用预算表'!J40+'[4]17)销售（经营）费用预算表'!J40+'[5]17)销售（经营）费用预算表'!J40</f>
        <v>0</v>
      </c>
      <c r="K40" s="11">
        <f>'[3]16)销售（经营）费用预算表'!K40+'[4]17)销售（经营）费用预算表'!K40+'[5]17)销售（经营）费用预算表'!K40</f>
        <v>0</v>
      </c>
      <c r="L40" s="41" t="e">
        <f t="shared" si="8"/>
        <v>#DIV/0!</v>
      </c>
      <c r="M40" s="5"/>
    </row>
    <row r="41" spans="1:13" ht="18" customHeight="1">
      <c r="A41" s="25" t="s">
        <v>802</v>
      </c>
      <c r="B41" s="11">
        <f>'[3]16)销售（经营）费用预算表'!B41+'[4]17)销售（经营）费用预算表'!B41+'[5]17)销售（经营）费用预算表'!B41</f>
        <v>0</v>
      </c>
      <c r="C41" s="11">
        <f>'[3]16)销售（经营）费用预算表'!C41+'[4]17)销售（经营）费用预算表'!C41+'[5]17)销售（经营）费用预算表'!C41</f>
        <v>0</v>
      </c>
      <c r="D41" s="11">
        <f>'[3]16)销售（经营）费用预算表'!D41+'[4]17)销售（经营）费用预算表'!D41+'[5]17)销售（经营）费用预算表'!D41</f>
        <v>0</v>
      </c>
      <c r="E41" s="11">
        <f t="shared" si="9"/>
        <v>0</v>
      </c>
      <c r="F41" s="91" t="e">
        <f t="shared" si="6"/>
        <v>#DIV/0!</v>
      </c>
      <c r="G41" s="11">
        <f t="shared" si="10"/>
        <v>0</v>
      </c>
      <c r="H41" s="11">
        <f>'[3]16)销售（经营）费用预算表'!H41+'[4]17)销售（经营）费用预算表'!H41+'[5]17)销售（经营）费用预算表'!H41</f>
        <v>0</v>
      </c>
      <c r="I41" s="11">
        <f>'[3]16)销售（经营）费用预算表'!I41+'[4]17)销售（经营）费用预算表'!I41+'[5]17)销售（经营）费用预算表'!I41</f>
        <v>0</v>
      </c>
      <c r="J41" s="11">
        <f>'[3]16)销售（经营）费用预算表'!J41+'[4]17)销售（经营）费用预算表'!J41+'[5]17)销售（经营）费用预算表'!J41</f>
        <v>0</v>
      </c>
      <c r="K41" s="11">
        <f>'[3]16)销售（经营）费用预算表'!K41+'[4]17)销售（经营）费用预算表'!K41+'[5]17)销售（经营）费用预算表'!K41</f>
        <v>0</v>
      </c>
      <c r="L41" s="41" t="e">
        <f t="shared" si="8"/>
        <v>#DIV/0!</v>
      </c>
      <c r="M41" s="5"/>
    </row>
    <row r="42" spans="1:13" ht="18" customHeight="1">
      <c r="A42" s="25" t="s">
        <v>803</v>
      </c>
      <c r="B42" s="11">
        <f>'[3]16)销售（经营）费用预算表'!B42+'[4]17)销售（经营）费用预算表'!B42+'[5]17)销售（经营）费用预算表'!B42</f>
        <v>0</v>
      </c>
      <c r="C42" s="11">
        <f>'[3]16)销售（经营）费用预算表'!C42+'[4]17)销售（经营）费用预算表'!C42+'[5]17)销售（经营）费用预算表'!C42</f>
        <v>0</v>
      </c>
      <c r="D42" s="11">
        <f>'[3]16)销售（经营）费用预算表'!D42+'[4]17)销售（经营）费用预算表'!D42+'[5]17)销售（经营）费用预算表'!D42</f>
        <v>0</v>
      </c>
      <c r="E42" s="11">
        <f t="shared" si="9"/>
        <v>0</v>
      </c>
      <c r="F42" s="91" t="e">
        <f t="shared" si="6"/>
        <v>#DIV/0!</v>
      </c>
      <c r="G42" s="11">
        <f t="shared" si="10"/>
        <v>0</v>
      </c>
      <c r="H42" s="11">
        <f>'[3]16)销售（经营）费用预算表'!H42+'[4]17)销售（经营）费用预算表'!H42+'[5]17)销售（经营）费用预算表'!H42</f>
        <v>0</v>
      </c>
      <c r="I42" s="11">
        <f>'[3]16)销售（经营）费用预算表'!I42+'[4]17)销售（经营）费用预算表'!I42+'[5]17)销售（经营）费用预算表'!I42</f>
        <v>0</v>
      </c>
      <c r="J42" s="11">
        <f>'[3]16)销售（经营）费用预算表'!J42+'[4]17)销售（经营）费用预算表'!J42+'[5]17)销售（经营）费用预算表'!J42</f>
        <v>0</v>
      </c>
      <c r="K42" s="11">
        <f>'[3]16)销售（经营）费用预算表'!K42+'[4]17)销售（经营）费用预算表'!K42+'[5]17)销售（经营）费用预算表'!K42</f>
        <v>0</v>
      </c>
      <c r="L42" s="41" t="e">
        <f t="shared" si="8"/>
        <v>#DIV/0!</v>
      </c>
      <c r="M42" s="5"/>
    </row>
    <row r="43" spans="1:13" ht="18" customHeight="1">
      <c r="A43" s="25" t="s">
        <v>702</v>
      </c>
      <c r="B43" s="11">
        <f>'[3]16)销售（经营）费用预算表'!B43+'[4]17)销售（经营）费用预算表'!B43+'[5]17)销售（经营）费用预算表'!B43</f>
        <v>0</v>
      </c>
      <c r="C43" s="11">
        <f>'[3]16)销售（经营）费用预算表'!C43+'[4]17)销售（经营）费用预算表'!C43+'[5]17)销售（经营）费用预算表'!C43</f>
        <v>0</v>
      </c>
      <c r="D43" s="11">
        <f>'[3]16)销售（经营）费用预算表'!D43+'[4]17)销售（经营）费用预算表'!D43+'[5]17)销售（经营）费用预算表'!D43</f>
        <v>0</v>
      </c>
      <c r="E43" s="11">
        <f t="shared" si="9"/>
        <v>0</v>
      </c>
      <c r="F43" s="91" t="e">
        <f t="shared" si="6"/>
        <v>#DIV/0!</v>
      </c>
      <c r="G43" s="11">
        <f t="shared" si="10"/>
        <v>0</v>
      </c>
      <c r="H43" s="11">
        <f>'[3]16)销售（经营）费用预算表'!H43+'[4]17)销售（经营）费用预算表'!H43+'[5]17)销售（经营）费用预算表'!H43</f>
        <v>0</v>
      </c>
      <c r="I43" s="11">
        <f>'[3]16)销售（经营）费用预算表'!I43+'[4]17)销售（经营）费用预算表'!I43+'[5]17)销售（经营）费用预算表'!I43</f>
        <v>0</v>
      </c>
      <c r="J43" s="11">
        <f>'[3]16)销售（经营）费用预算表'!J43+'[4]17)销售（经营）费用预算表'!J43+'[5]17)销售（经营）费用预算表'!J43</f>
        <v>0</v>
      </c>
      <c r="K43" s="11">
        <f>'[3]16)销售（经营）费用预算表'!K43+'[4]17)销售（经营）费用预算表'!K43+'[5]17)销售（经营）费用预算表'!K43</f>
        <v>0</v>
      </c>
      <c r="L43" s="41" t="e">
        <f t="shared" si="8"/>
        <v>#DIV/0!</v>
      </c>
      <c r="M43" s="5"/>
    </row>
    <row r="44" spans="1:13" ht="18" customHeight="1">
      <c r="A44" s="25" t="s">
        <v>782</v>
      </c>
      <c r="B44" s="11">
        <f>'[3]16)销售（经营）费用预算表'!B44+'[4]17)销售（经营）费用预算表'!B44+'[5]17)销售（经营）费用预算表'!B44</f>
        <v>0</v>
      </c>
      <c r="C44" s="11">
        <f>'[3]16)销售（经营）费用预算表'!C44+'[4]17)销售（经营）费用预算表'!C44+'[5]17)销售（经营）费用预算表'!C44</f>
        <v>0</v>
      </c>
      <c r="D44" s="11">
        <f>'[3]16)销售（经营）费用预算表'!D44+'[4]17)销售（经营）费用预算表'!D44+'[5]17)销售（经营）费用预算表'!D44</f>
        <v>261.48</v>
      </c>
      <c r="E44" s="11">
        <f t="shared" si="9"/>
        <v>261.48</v>
      </c>
      <c r="F44" s="91" t="e">
        <f t="shared" si="6"/>
        <v>#DIV/0!</v>
      </c>
      <c r="G44" s="11">
        <f t="shared" si="10"/>
        <v>0</v>
      </c>
      <c r="H44" s="11">
        <f>'[3]16)销售（经营）费用预算表'!H44+'[4]17)销售（经营）费用预算表'!H44+'[5]17)销售（经营）费用预算表'!H44</f>
        <v>0</v>
      </c>
      <c r="I44" s="11">
        <f>'[3]16)销售（经营）费用预算表'!I44+'[4]17)销售（经营）费用预算表'!I44+'[5]17)销售（经营）费用预算表'!I44</f>
        <v>0</v>
      </c>
      <c r="J44" s="11">
        <f>'[3]16)销售（经营）费用预算表'!J44+'[4]17)销售（经营）费用预算表'!J44+'[5]17)销售（经营）费用预算表'!J44</f>
        <v>0</v>
      </c>
      <c r="K44" s="11">
        <f>'[3]16)销售（经营）费用预算表'!K44+'[4]17)销售（经营）费用预算表'!K44+'[5]17)销售（经营）费用预算表'!K44</f>
        <v>0</v>
      </c>
      <c r="L44" s="41">
        <f t="shared" si="8"/>
        <v>0</v>
      </c>
      <c r="M44" s="5"/>
    </row>
    <row r="45" spans="1:13" ht="18" customHeight="1">
      <c r="A45" s="25" t="s">
        <v>670</v>
      </c>
      <c r="B45" s="11">
        <f>SUM(B46:B48)</f>
        <v>10315.96</v>
      </c>
      <c r="C45" s="11">
        <f>SUM(C46:C48)</f>
        <v>4895.35</v>
      </c>
      <c r="D45" s="11">
        <f>SUM(D46:D48)</f>
        <v>504</v>
      </c>
      <c r="E45" s="11">
        <f>SUM(E46:E48)</f>
        <v>5399.35</v>
      </c>
      <c r="F45" s="91">
        <f t="shared" si="6"/>
        <v>0.5233977254661709</v>
      </c>
      <c r="G45" s="11">
        <f>SUM(G46:G48)</f>
        <v>10210.666666666668</v>
      </c>
      <c r="H45" s="11">
        <f>SUM(H46:H48)</f>
        <v>2720.666666666667</v>
      </c>
      <c r="I45" s="11">
        <f>SUM(I46:I48)</f>
        <v>2720.666666666667</v>
      </c>
      <c r="J45" s="11">
        <f>SUM(J46:J48)</f>
        <v>2552.666666666667</v>
      </c>
      <c r="K45" s="11">
        <f>SUM(K46:K48)</f>
        <v>2216.666666666667</v>
      </c>
      <c r="L45" s="41">
        <f t="shared" si="8"/>
        <v>1.89109182895472</v>
      </c>
      <c r="M45" s="5"/>
    </row>
    <row r="46" spans="1:13" ht="18" customHeight="1">
      <c r="A46" s="25" t="s">
        <v>804</v>
      </c>
      <c r="B46" s="11">
        <f>'[3]16)销售（经营）费用预算表'!B46+'[4]17)销售（经营）费用预算表'!B46+'[5]17)销售（经营）费用预算表'!B46</f>
        <v>0</v>
      </c>
      <c r="C46" s="11">
        <f>'[3]16)销售（经营）费用预算表'!C46+'[4]17)销售（经营）费用预算表'!C46+'[5]17)销售（经营）费用预算表'!C46</f>
        <v>0</v>
      </c>
      <c r="D46" s="11">
        <f>'[3]16)销售（经营）费用预算表'!D46+'[4]17)销售（经营）费用预算表'!D46+'[5]17)销售（经营）费用预算表'!D46</f>
        <v>0</v>
      </c>
      <c r="E46" s="11">
        <f>C46+D46</f>
        <v>0</v>
      </c>
      <c r="F46" s="91" t="e">
        <f t="shared" si="6"/>
        <v>#DIV/0!</v>
      </c>
      <c r="G46" s="11">
        <f>SUM(H46:K46)</f>
        <v>0</v>
      </c>
      <c r="H46" s="11">
        <f>'[3]16)销售（经营）费用预算表'!H46+'[4]17)销售（经营）费用预算表'!H46+'[5]17)销售（经营）费用预算表'!H46</f>
        <v>0</v>
      </c>
      <c r="I46" s="11">
        <f>'[3]16)销售（经营）费用预算表'!I46+'[4]17)销售（经营）费用预算表'!I46+'[5]17)销售（经营）费用预算表'!I46</f>
        <v>0</v>
      </c>
      <c r="J46" s="11">
        <f>'[3]16)销售（经营）费用预算表'!J46+'[4]17)销售（经营）费用预算表'!J46+'[5]17)销售（经营）费用预算表'!J46</f>
        <v>0</v>
      </c>
      <c r="K46" s="11">
        <f>'[3]16)销售（经营）费用预算表'!K46+'[4]17)销售（经营）费用预算表'!K46+'[5]17)销售（经营）费用预算表'!K46</f>
        <v>0</v>
      </c>
      <c r="L46" s="41" t="e">
        <f t="shared" si="8"/>
        <v>#DIV/0!</v>
      </c>
      <c r="M46" s="5"/>
    </row>
    <row r="47" spans="1:13" ht="18" customHeight="1">
      <c r="A47" s="25" t="s">
        <v>805</v>
      </c>
      <c r="B47" s="11">
        <f>'[3]16)销售（经营）费用预算表'!B47+'[4]17)销售（经营）费用预算表'!B47+'[5]17)销售（经营）费用预算表'!B47</f>
        <v>10315.96</v>
      </c>
      <c r="C47" s="11">
        <f>'[3]16)销售（经营）费用预算表'!C47+'[4]17)销售（经营）费用预算表'!C47+'[5]17)销售（经营）费用预算表'!C47</f>
        <v>4895.35</v>
      </c>
      <c r="D47" s="11">
        <f>'[3]16)销售（经营）费用预算表'!D47+'[4]17)销售（经营）费用预算表'!D47+'[5]17)销售（经营）费用预算表'!D47</f>
        <v>504</v>
      </c>
      <c r="E47" s="11">
        <f>C47+D47</f>
        <v>5399.35</v>
      </c>
      <c r="F47" s="91">
        <f t="shared" si="6"/>
        <v>0.5233977254661709</v>
      </c>
      <c r="G47" s="11">
        <f>SUM(H47:K47)</f>
        <v>10210.666666666668</v>
      </c>
      <c r="H47" s="11">
        <f>'[3]16)销售（经营）费用预算表'!H47+'[4]17)销售（经营）费用预算表'!H47+'[5]17)销售（经营）费用预算表'!H47</f>
        <v>2720.666666666667</v>
      </c>
      <c r="I47" s="11">
        <f>'[3]16)销售（经营）费用预算表'!I47+'[4]17)销售（经营）费用预算表'!I47+'[5]17)销售（经营）费用预算表'!I47</f>
        <v>2720.666666666667</v>
      </c>
      <c r="J47" s="11">
        <f>'[3]16)销售（经营）费用预算表'!J47+'[4]17)销售（经营）费用预算表'!J47+'[5]17)销售（经营）费用预算表'!J47</f>
        <v>2552.666666666667</v>
      </c>
      <c r="K47" s="11">
        <f>'[3]16)销售（经营）费用预算表'!K47+'[4]17)销售（经营）费用预算表'!K47+'[5]17)销售（经营）费用预算表'!K47</f>
        <v>2216.666666666667</v>
      </c>
      <c r="L47" s="41">
        <f t="shared" si="8"/>
        <v>1.89109182895472</v>
      </c>
      <c r="M47" s="5"/>
    </row>
    <row r="48" spans="1:13" ht="18" customHeight="1">
      <c r="A48" s="25" t="s">
        <v>806</v>
      </c>
      <c r="B48" s="11">
        <f>'[3]16)销售（经营）费用预算表'!B48+'[4]17)销售（经营）费用预算表'!B48+'[5]17)销售（经营）费用预算表'!B48</f>
        <v>0</v>
      </c>
      <c r="C48" s="11">
        <f>'[3]16)销售（经营）费用预算表'!C48+'[4]17)销售（经营）费用预算表'!C48+'[5]17)销售（经营）费用预算表'!C48</f>
        <v>0</v>
      </c>
      <c r="D48" s="11">
        <f>'[3]16)销售（经营）费用预算表'!D48+'[4]17)销售（经营）费用预算表'!D48+'[5]17)销售（经营）费用预算表'!D48</f>
        <v>0</v>
      </c>
      <c r="E48" s="11">
        <f>C48+D48</f>
        <v>0</v>
      </c>
      <c r="F48" s="91" t="e">
        <f t="shared" si="6"/>
        <v>#DIV/0!</v>
      </c>
      <c r="G48" s="11">
        <f>SUM(H48:K48)</f>
        <v>0</v>
      </c>
      <c r="H48" s="11">
        <f>'[3]16)销售（经营）费用预算表'!H48+'[4]17)销售（经营）费用预算表'!H48+'[5]17)销售（经营）费用预算表'!H48</f>
        <v>0</v>
      </c>
      <c r="I48" s="11">
        <f>'[3]16)销售（经营）费用预算表'!I48+'[4]17)销售（经营）费用预算表'!I48+'[5]17)销售（经营）费用预算表'!I48</f>
        <v>0</v>
      </c>
      <c r="J48" s="11">
        <f>'[3]16)销售（经营）费用预算表'!J48+'[4]17)销售（经营）费用预算表'!J48+'[5]17)销售（经营）费用预算表'!J48</f>
        <v>0</v>
      </c>
      <c r="K48" s="11">
        <f>'[3]16)销售（经营）费用预算表'!K48+'[4]17)销售（经营）费用预算表'!K48+'[5]17)销售（经营）费用预算表'!K48</f>
        <v>0</v>
      </c>
      <c r="L48" s="41" t="e">
        <f t="shared" si="8"/>
        <v>#DIV/0!</v>
      </c>
      <c r="M48" s="5"/>
    </row>
    <row r="49" spans="1:13" ht="18" customHeight="1">
      <c r="A49" s="5"/>
      <c r="B49" s="5"/>
      <c r="C49" s="16"/>
      <c r="D49" s="4" t="s">
        <v>340</v>
      </c>
      <c r="E49" s="5"/>
      <c r="F49" s="5"/>
      <c r="G49" s="5"/>
      <c r="H49" s="16"/>
      <c r="I49" s="17" t="s">
        <v>380</v>
      </c>
      <c r="J49" s="5"/>
      <c r="K49" s="5"/>
      <c r="L49" s="5"/>
      <c r="M49" s="5"/>
    </row>
  </sheetData>
  <sheetProtection/>
  <mergeCells count="6">
    <mergeCell ref="A1:M1"/>
    <mergeCell ref="B3:F3"/>
    <mergeCell ref="G3:K3"/>
    <mergeCell ref="A3:A4"/>
    <mergeCell ref="L3:L4"/>
    <mergeCell ref="M3:M4"/>
  </mergeCells>
  <printOptions/>
  <pageMargins left="0.75" right="0.39" top="1" bottom="1" header="0.5" footer="0.5"/>
  <pageSetup fitToHeight="1" fitToWidth="1" horizontalDpi="300" verticalDpi="300" orientation="portrait" paperSize="9" scale="69"/>
</worksheet>
</file>

<file path=xl/worksheets/sheet34.xml><?xml version="1.0" encoding="utf-8"?>
<worksheet xmlns="http://schemas.openxmlformats.org/spreadsheetml/2006/main" xmlns:r="http://schemas.openxmlformats.org/officeDocument/2006/relationships">
  <sheetPr>
    <pageSetUpPr fitToPage="1"/>
  </sheetPr>
  <dimension ref="A1:W76"/>
  <sheetViews>
    <sheetView workbookViewId="0" topLeftCell="A38">
      <selection activeCell="I56" sqref="I56"/>
    </sheetView>
  </sheetViews>
  <sheetFormatPr defaultColWidth="9.140625" defaultRowHeight="12.75"/>
  <cols>
    <col min="1" max="1" width="22.00390625" style="0" customWidth="1"/>
    <col min="2" max="2" width="17.7109375" style="0" customWidth="1"/>
    <col min="3" max="3" width="13.8515625" style="56" customWidth="1"/>
    <col min="4" max="5" width="13.8515625" style="0" customWidth="1"/>
    <col min="6" max="6" width="10.421875" style="0" customWidth="1"/>
    <col min="7" max="7" width="13.8515625" style="0" customWidth="1"/>
    <col min="8" max="11" width="14.28125" style="0" customWidth="1"/>
    <col min="12" max="12" width="10.140625" style="0" customWidth="1"/>
    <col min="13" max="13" width="11.7109375" style="0" customWidth="1"/>
    <col min="14" max="14" width="9.140625" style="0" customWidth="1"/>
  </cols>
  <sheetData>
    <row r="1" spans="1:13" ht="18" customHeight="1">
      <c r="A1" s="57" t="s">
        <v>807</v>
      </c>
      <c r="B1" s="57"/>
      <c r="C1" s="58" t="s">
        <v>807</v>
      </c>
      <c r="D1" s="57" t="s">
        <v>807</v>
      </c>
      <c r="E1" s="57" t="s">
        <v>807</v>
      </c>
      <c r="F1" s="57"/>
      <c r="G1" s="57" t="s">
        <v>807</v>
      </c>
      <c r="H1" s="57" t="s">
        <v>807</v>
      </c>
      <c r="I1" s="57" t="s">
        <v>807</v>
      </c>
      <c r="J1" s="57" t="s">
        <v>807</v>
      </c>
      <c r="K1" s="57" t="s">
        <v>807</v>
      </c>
      <c r="L1" s="57" t="s">
        <v>807</v>
      </c>
      <c r="M1" s="57" t="s">
        <v>807</v>
      </c>
    </row>
    <row r="2" spans="1:13" ht="18" customHeight="1">
      <c r="A2" s="59" t="s">
        <v>287</v>
      </c>
      <c r="B2" s="60"/>
      <c r="C2" s="61"/>
      <c r="D2" s="62"/>
      <c r="E2" s="63"/>
      <c r="F2" s="64"/>
      <c r="G2" s="65" t="s">
        <v>288</v>
      </c>
      <c r="H2" s="66"/>
      <c r="I2" s="79"/>
      <c r="J2" s="59"/>
      <c r="K2" s="59"/>
      <c r="L2" s="80"/>
      <c r="M2" s="81" t="s">
        <v>1</v>
      </c>
    </row>
    <row r="3" spans="1:13" ht="18" customHeight="1">
      <c r="A3" s="67" t="s">
        <v>290</v>
      </c>
      <c r="B3" s="68" t="s">
        <v>366</v>
      </c>
      <c r="C3" s="69"/>
      <c r="D3" s="69"/>
      <c r="E3" s="69"/>
      <c r="F3" s="70"/>
      <c r="G3" s="71" t="s">
        <v>292</v>
      </c>
      <c r="H3" s="71" t="s">
        <v>292</v>
      </c>
      <c r="I3" s="71" t="s">
        <v>292</v>
      </c>
      <c r="J3" s="71" t="s">
        <v>292</v>
      </c>
      <c r="K3" s="71" t="s">
        <v>292</v>
      </c>
      <c r="L3" s="71" t="s">
        <v>293</v>
      </c>
      <c r="M3" s="67" t="s">
        <v>33</v>
      </c>
    </row>
    <row r="4" spans="1:13" ht="18" customHeight="1">
      <c r="A4" s="67" t="s">
        <v>290</v>
      </c>
      <c r="B4" s="71" t="s">
        <v>294</v>
      </c>
      <c r="C4" s="71" t="s">
        <v>463</v>
      </c>
      <c r="D4" s="71" t="s">
        <v>296</v>
      </c>
      <c r="E4" s="71" t="s">
        <v>745</v>
      </c>
      <c r="F4" s="71" t="s">
        <v>299</v>
      </c>
      <c r="G4" s="71" t="s">
        <v>314</v>
      </c>
      <c r="H4" s="71" t="s">
        <v>324</v>
      </c>
      <c r="I4" s="71" t="s">
        <v>331</v>
      </c>
      <c r="J4" s="71" t="s">
        <v>334</v>
      </c>
      <c r="K4" s="71" t="s">
        <v>336</v>
      </c>
      <c r="L4" s="71" t="s">
        <v>293</v>
      </c>
      <c r="M4" s="67" t="s">
        <v>33</v>
      </c>
    </row>
    <row r="5" spans="1:13" ht="18" customHeight="1">
      <c r="A5" s="72" t="s">
        <v>808</v>
      </c>
      <c r="B5" s="73">
        <f>B6+B24+B67+B68</f>
        <v>13311066.244666668</v>
      </c>
      <c r="C5" s="73">
        <f>C6+C24+C67+C68</f>
        <v>8612879.2</v>
      </c>
      <c r="D5" s="73">
        <f>D6+D24+D67+D68</f>
        <v>2842584.3900000006</v>
      </c>
      <c r="E5" s="73">
        <f>E6+E24+E67+E68</f>
        <v>11455463.59</v>
      </c>
      <c r="F5" s="74">
        <f aca="true" t="shared" si="0" ref="F5:F13">E5/B5</f>
        <v>0.8605969934669846</v>
      </c>
      <c r="G5" s="73">
        <f>G6+G24+G67+G68</f>
        <v>14558152.45736667</v>
      </c>
      <c r="H5" s="73">
        <f>H6+H24+H67+H68</f>
        <v>3311687.2663250007</v>
      </c>
      <c r="I5" s="73">
        <f>I6+I24+I67+I68</f>
        <v>4080415.688125</v>
      </c>
      <c r="J5" s="73">
        <f>J6+J24+J67+J68</f>
        <v>3591425.031458333</v>
      </c>
      <c r="K5" s="73">
        <f>K6+K24+K67+K68</f>
        <v>3574624.4714583335</v>
      </c>
      <c r="L5" s="82">
        <f>G5/E5</f>
        <v>1.2708479532923618</v>
      </c>
      <c r="M5" s="59"/>
    </row>
    <row r="6" spans="1:13" ht="18" customHeight="1">
      <c r="A6" s="75" t="s">
        <v>809</v>
      </c>
      <c r="B6" s="73">
        <f>B7+B16+B17+B18+B19+B22+B23</f>
        <v>11466992.758000001</v>
      </c>
      <c r="C6" s="73">
        <f>C7+C16+C17+C18+C19+C22+C23</f>
        <v>7576438.909999999</v>
      </c>
      <c r="D6" s="73">
        <f>D7+D16+D17+D18+D19+D22+D23</f>
        <v>2350019.9000000004</v>
      </c>
      <c r="E6" s="73">
        <f>E7+E16+E17+E18+E19+E22+E23</f>
        <v>9926458.809999999</v>
      </c>
      <c r="F6" s="74">
        <f t="shared" si="0"/>
        <v>0.8656549297177115</v>
      </c>
      <c r="G6" s="73">
        <f>G7+G16+G17+G18+G19+G22+G23</f>
        <v>11751185.750700003</v>
      </c>
      <c r="H6" s="73">
        <f>H7+H16+H17+H18+H19+H22+H23</f>
        <v>2808819.6863250006</v>
      </c>
      <c r="I6" s="73">
        <f>I7+I16+I17+I18+I19+I22+I23</f>
        <v>2887193.688125</v>
      </c>
      <c r="J6" s="73">
        <f>J7+J16+J17+J18+J19+J22+J23</f>
        <v>3042742.038125</v>
      </c>
      <c r="K6" s="73">
        <f>K7+K16+K17+K18+K19+K22+K23</f>
        <v>3012430.3381250002</v>
      </c>
      <c r="L6" s="82">
        <f>G6/E6</f>
        <v>1.1838245617723975</v>
      </c>
      <c r="M6" s="59"/>
    </row>
    <row r="7" spans="1:13" ht="18" customHeight="1">
      <c r="A7" s="72" t="s">
        <v>768</v>
      </c>
      <c r="B7" s="73">
        <f aca="true" t="shared" si="1" ref="B7:K7">SUM(B8:B9)+B13+B14+B15</f>
        <v>8534774.8</v>
      </c>
      <c r="C7" s="73">
        <f t="shared" si="1"/>
        <v>5786172.97</v>
      </c>
      <c r="D7" s="73">
        <f t="shared" si="1"/>
        <v>1808684.89</v>
      </c>
      <c r="E7" s="73">
        <f t="shared" si="1"/>
        <v>7594857.86</v>
      </c>
      <c r="F7" s="74">
        <f t="shared" si="0"/>
        <v>0.88987208660737</v>
      </c>
      <c r="G7" s="73">
        <f t="shared" si="1"/>
        <v>9223356.38</v>
      </c>
      <c r="H7" s="73">
        <f t="shared" si="1"/>
        <v>2209962.995</v>
      </c>
      <c r="I7" s="73">
        <f t="shared" si="1"/>
        <v>2239666.895</v>
      </c>
      <c r="J7" s="73">
        <f t="shared" si="1"/>
        <v>2406093.245</v>
      </c>
      <c r="K7" s="73">
        <f t="shared" si="1"/>
        <v>2367633.245</v>
      </c>
      <c r="L7" s="82">
        <f>G7/E7</f>
        <v>1.2144211978708448</v>
      </c>
      <c r="M7" s="59"/>
    </row>
    <row r="8" spans="1:13" ht="18" customHeight="1">
      <c r="A8" s="72" t="s">
        <v>769</v>
      </c>
      <c r="B8" s="73">
        <f>'[3]17)管理费用预算表'!B8+'[4]18)管理费用预算表'!B8+'[5]18)管理费用预算表'!B8</f>
        <v>3995016</v>
      </c>
      <c r="C8" s="73">
        <f>'[3]17)管理费用预算表'!C8+'[4]18)管理费用预算表'!C8+'[5]18)管理费用预算表'!C8</f>
        <v>2775560.66</v>
      </c>
      <c r="D8" s="73">
        <f>'[3]17)管理费用预算表'!D8+'[4]18)管理费用预算表'!D8+'[5]18)管理费用预算表'!D8</f>
        <v>827915</v>
      </c>
      <c r="E8" s="73">
        <f aca="true" t="shared" si="2" ref="E8:E15">C8+D8</f>
        <v>3603475.66</v>
      </c>
      <c r="F8" s="74">
        <f t="shared" si="0"/>
        <v>0.9019927980263408</v>
      </c>
      <c r="G8" s="73">
        <f>SUM(H8:K8)</f>
        <v>3626460</v>
      </c>
      <c r="H8" s="73">
        <f>'[3]17)管理费用预算表'!H8+'[4]18)管理费用预算表'!H8+'[5]18)管理费用预算表'!H8</f>
        <v>887850</v>
      </c>
      <c r="I8" s="73">
        <f>'[3]17)管理费用预算表'!I8+'[4]18)管理费用预算表'!I8+'[5]18)管理费用预算表'!I8</f>
        <v>912870</v>
      </c>
      <c r="J8" s="73">
        <f>'[3]17)管理费用预算表'!J8+'[4]18)管理费用预算表'!J8+'[5]18)管理费用预算表'!J8</f>
        <v>912870</v>
      </c>
      <c r="K8" s="73">
        <f>'[3]17)管理费用预算表'!K8+'[4]18)管理费用预算表'!K8+'[5]18)管理费用预算表'!K8</f>
        <v>912870</v>
      </c>
      <c r="L8" s="82">
        <f aca="true" t="shared" si="3" ref="L8:L13">G8/E8</f>
        <v>1.0063783808102646</v>
      </c>
      <c r="M8" s="59"/>
    </row>
    <row r="9" spans="1:13" ht="18" customHeight="1">
      <c r="A9" s="72" t="s">
        <v>770</v>
      </c>
      <c r="B9" s="76">
        <f>SUM(B10:B12)</f>
        <v>3758582.8000000003</v>
      </c>
      <c r="C9" s="73">
        <f>SUM(C10:C12)</f>
        <v>2492391.27</v>
      </c>
      <c r="D9" s="76">
        <f>SUM(D10:D12)</f>
        <v>819129.8899999999</v>
      </c>
      <c r="E9" s="76">
        <f>SUM(E10:E12)</f>
        <v>3311521.16</v>
      </c>
      <c r="F9" s="74">
        <f t="shared" si="0"/>
        <v>0.8810557958175086</v>
      </c>
      <c r="G9" s="76">
        <f>SUM(G10:G12)</f>
        <v>4526457.58</v>
      </c>
      <c r="H9" s="76">
        <f>SUM(H10:H12)</f>
        <v>1121601.895</v>
      </c>
      <c r="I9" s="76">
        <f>SUM(I10:I12)</f>
        <v>1134951.895</v>
      </c>
      <c r="J9" s="76">
        <f>SUM(J10:J12)</f>
        <v>1134951.895</v>
      </c>
      <c r="K9" s="76">
        <f>SUM(K10:K12)</f>
        <v>1134951.895</v>
      </c>
      <c r="L9" s="82">
        <f t="shared" si="3"/>
        <v>1.3668816719866588</v>
      </c>
      <c r="M9" s="59"/>
    </row>
    <row r="10" spans="1:13" ht="18" customHeight="1" hidden="1">
      <c r="A10" s="75" t="s">
        <v>771</v>
      </c>
      <c r="B10" s="73">
        <f>'[3]17)管理费用预算表'!B10+'[4]18)管理费用预算表'!B10+'[5]18)管理费用预算表'!B10</f>
        <v>0</v>
      </c>
      <c r="C10" s="73">
        <f>'[3]17)管理费用预算表'!C10+'[4]18)管理费用预算表'!C10+'[5]18)管理费用预算表'!C10</f>
        <v>0</v>
      </c>
      <c r="D10" s="73">
        <f>'[3]17)管理费用预算表'!D10+'[4]18)管理费用预算表'!D10+'[5]18)管理费用预算表'!D10</f>
        <v>0</v>
      </c>
      <c r="E10" s="73">
        <f t="shared" si="2"/>
        <v>0</v>
      </c>
      <c r="F10" s="74" t="e">
        <f t="shared" si="0"/>
        <v>#DIV/0!</v>
      </c>
      <c r="G10" s="73">
        <f aca="true" t="shared" si="4" ref="G10:G18">SUM(H10:K10)</f>
        <v>0</v>
      </c>
      <c r="H10" s="73">
        <f>'[3]17)管理费用预算表'!H10+'[4]18)管理费用预算表'!H10+'[5]18)管理费用预算表'!H10</f>
        <v>0</v>
      </c>
      <c r="I10" s="73">
        <f>'[3]17)管理费用预算表'!I10+'[4]18)管理费用预算表'!I10+'[5]18)管理费用预算表'!I10</f>
        <v>0</v>
      </c>
      <c r="J10" s="73">
        <f>'[3]17)管理费用预算表'!J10+'[4]18)管理费用预算表'!J10+'[5]18)管理费用预算表'!J10</f>
        <v>0</v>
      </c>
      <c r="K10" s="73">
        <f>'[3]17)管理费用预算表'!K10+'[4]18)管理费用预算表'!K10+'[5]18)管理费用预算表'!K10</f>
        <v>0</v>
      </c>
      <c r="L10" s="82" t="e">
        <f t="shared" si="3"/>
        <v>#DIV/0!</v>
      </c>
      <c r="M10" s="59"/>
    </row>
    <row r="11" spans="1:13" ht="18" customHeight="1">
      <c r="A11" s="75" t="s">
        <v>772</v>
      </c>
      <c r="B11" s="73">
        <f>'[3]17)管理费用预算表'!B11+'[4]18)管理费用预算表'!B11+'[5]18)管理费用预算表'!B11</f>
        <v>1142463.81</v>
      </c>
      <c r="C11" s="73">
        <f>'[3]17)管理费用预算表'!C11+'[4]18)管理费用预算表'!C11+'[5]18)管理费用预算表'!C11</f>
        <v>647353.2000000001</v>
      </c>
      <c r="D11" s="73">
        <f>'[3]17)管理费用预算表'!D11+'[4]18)管理费用预算表'!D11+'[5]18)管理费用预算表'!D11</f>
        <v>237747.97000000003</v>
      </c>
      <c r="E11" s="73">
        <f t="shared" si="2"/>
        <v>885101.1700000002</v>
      </c>
      <c r="F11" s="74">
        <f t="shared" si="0"/>
        <v>0.7747301597238342</v>
      </c>
      <c r="G11" s="73">
        <f t="shared" si="4"/>
        <v>1151528.7</v>
      </c>
      <c r="H11" s="73">
        <f>'[3]17)管理费用预算表'!H11+'[4]18)管理费用预算表'!H11+'[5]18)管理费用预算表'!H11</f>
        <v>284057.175</v>
      </c>
      <c r="I11" s="73">
        <f>'[3]17)管理费用预算表'!I11+'[4]18)管理费用预算表'!I11+'[5]18)管理费用预算表'!I11</f>
        <v>289157.175</v>
      </c>
      <c r="J11" s="73">
        <f>'[3]17)管理费用预算表'!J11+'[4]18)管理费用预算表'!J11+'[5]18)管理费用预算表'!J11</f>
        <v>289157.175</v>
      </c>
      <c r="K11" s="73">
        <f>'[3]17)管理费用预算表'!K11+'[4]18)管理费用预算表'!K11+'[5]18)管理费用预算表'!K11</f>
        <v>289157.175</v>
      </c>
      <c r="L11" s="82">
        <f t="shared" si="3"/>
        <v>1.3010136457056087</v>
      </c>
      <c r="M11" s="59"/>
    </row>
    <row r="12" spans="1:13" ht="18" customHeight="1">
      <c r="A12" s="75" t="s">
        <v>773</v>
      </c>
      <c r="B12" s="73">
        <f>'[3]17)管理费用预算表'!B12+'[4]18)管理费用预算表'!B12+'[5]18)管理费用预算表'!B12</f>
        <v>2616118.99</v>
      </c>
      <c r="C12" s="73">
        <f>'[3]17)管理费用预算表'!C12+'[4]18)管理费用预算表'!C12+'[5]18)管理费用预算表'!C12</f>
        <v>1845038.07</v>
      </c>
      <c r="D12" s="73">
        <f>'[3]17)管理费用预算表'!D12+'[4]18)管理费用预算表'!D12+'[5]18)管理费用预算表'!D12</f>
        <v>581381.9199999999</v>
      </c>
      <c r="E12" s="73">
        <f t="shared" si="2"/>
        <v>2426419.99</v>
      </c>
      <c r="F12" s="74">
        <f t="shared" si="0"/>
        <v>0.9274883899680725</v>
      </c>
      <c r="G12" s="73">
        <f t="shared" si="4"/>
        <v>3374928.88</v>
      </c>
      <c r="H12" s="73">
        <f>'[3]17)管理费用预算表'!H12+'[4]18)管理费用预算表'!H12+'[5]18)管理费用预算表'!H12</f>
        <v>837544.72</v>
      </c>
      <c r="I12" s="73">
        <f>'[3]17)管理费用预算表'!I12+'[4]18)管理费用预算表'!I12+'[5]18)管理费用预算表'!I12</f>
        <v>845794.72</v>
      </c>
      <c r="J12" s="73">
        <f>'[3]17)管理费用预算表'!J12+'[4]18)管理费用预算表'!J12+'[5]18)管理费用预算表'!J12</f>
        <v>845794.72</v>
      </c>
      <c r="K12" s="73">
        <f>'[3]17)管理费用预算表'!K12+'[4]18)管理费用预算表'!K12+'[5]18)管理费用预算表'!K12</f>
        <v>845794.72</v>
      </c>
      <c r="L12" s="82">
        <f t="shared" si="3"/>
        <v>1.390908784921443</v>
      </c>
      <c r="M12" s="59"/>
    </row>
    <row r="13" spans="1:13" ht="18" customHeight="1">
      <c r="A13" s="75" t="s">
        <v>774</v>
      </c>
      <c r="B13" s="73">
        <f>'[3]17)管理费用预算表'!B13+'[4]18)管理费用预算表'!B13+'[5]18)管理费用预算表'!B13</f>
        <v>0</v>
      </c>
      <c r="C13" s="73">
        <f>'[3]17)管理费用预算表'!C13+'[4]18)管理费用预算表'!C13+'[5]18)管理费用预算表'!C13</f>
        <v>1000</v>
      </c>
      <c r="D13" s="73">
        <f>'[3]17)管理费用预算表'!D13+'[4]18)管理费用预算表'!D13+'[5]18)管理费用预算表'!D13</f>
        <v>0</v>
      </c>
      <c r="E13" s="11">
        <f t="shared" si="2"/>
        <v>1000</v>
      </c>
      <c r="F13" s="74" t="e">
        <f t="shared" si="0"/>
        <v>#DIV/0!</v>
      </c>
      <c r="G13" s="73">
        <f t="shared" si="4"/>
        <v>406624.79999999993</v>
      </c>
      <c r="H13" s="73">
        <f>'[3]17)管理费用预算表'!H13+'[4]18)管理费用预算表'!H13+'[5]18)管理费用预算表'!H13</f>
        <v>69292.09999999998</v>
      </c>
      <c r="I13" s="73">
        <f>'[3]17)管理费用预算表'!I13+'[4]18)管理费用预算表'!I13+'[5]18)管理费用预算表'!I13</f>
        <v>0</v>
      </c>
      <c r="J13" s="73">
        <f>'[3]17)管理费用预算表'!J13+'[4]18)管理费用预算表'!J13+'[5]18)管理费用预算表'!J13</f>
        <v>168666.34999999998</v>
      </c>
      <c r="K13" s="73">
        <f>'[3]17)管理费用预算表'!K13+'[4]18)管理费用预算表'!K13+'[5]18)管理费用预算表'!K13</f>
        <v>168666.34999999998</v>
      </c>
      <c r="L13" s="82">
        <f t="shared" si="3"/>
        <v>406.62479999999994</v>
      </c>
      <c r="M13" s="59"/>
    </row>
    <row r="14" spans="1:13" ht="18" customHeight="1">
      <c r="A14" s="72" t="s">
        <v>775</v>
      </c>
      <c r="B14" s="73">
        <f>'[3]17)管理费用预算表'!B14+'[4]18)管理费用预算表'!B14+'[5]18)管理费用预算表'!B14</f>
        <v>696516</v>
      </c>
      <c r="C14" s="73">
        <f>'[3]17)管理费用预算表'!C14+'[4]18)管理费用预算表'!C14+'[5]18)管理费用预算表'!C14</f>
        <v>482398</v>
      </c>
      <c r="D14" s="73">
        <f>'[3]17)管理费用预算表'!D14+'[4]18)管理费用预算表'!D14+'[5]18)管理费用预算表'!D14</f>
        <v>152060</v>
      </c>
      <c r="E14" s="73">
        <f t="shared" si="2"/>
        <v>634458</v>
      </c>
      <c r="F14" s="74">
        <f aca="true" t="shared" si="5" ref="F14:F38">E14/B14</f>
        <v>0.9109022621160174</v>
      </c>
      <c r="G14" s="73">
        <f t="shared" si="4"/>
        <v>598470</v>
      </c>
      <c r="H14" s="73">
        <f>'[3]17)管理费用预算表'!H14+'[4]18)管理费用预算表'!H14+'[5]18)管理费用预算表'!H14</f>
        <v>113313</v>
      </c>
      <c r="I14" s="73">
        <f>'[3]17)管理费用预算表'!I14+'[4]18)管理费用预算表'!I14+'[5]18)管理费用预算表'!I14</f>
        <v>174519</v>
      </c>
      <c r="J14" s="73">
        <f>'[3]17)管理费用预算表'!J14+'[4]18)管理费用预算表'!J14+'[5]18)管理费用预算表'!J14</f>
        <v>174519</v>
      </c>
      <c r="K14" s="73">
        <f>'[3]17)管理费用预算表'!K14+'[4]18)管理费用预算表'!K14+'[5]18)管理费用预算表'!K14</f>
        <v>136119</v>
      </c>
      <c r="L14" s="82">
        <f aca="true" t="shared" si="6" ref="L14:L38">G14/E14</f>
        <v>0.9432775692007982</v>
      </c>
      <c r="M14" s="59"/>
    </row>
    <row r="15" spans="1:13" ht="18" customHeight="1">
      <c r="A15" s="72" t="s">
        <v>776</v>
      </c>
      <c r="B15" s="73">
        <f>'[3]17)管理费用预算表'!B15+'[4]18)管理费用预算表'!B15+'[5]18)管理费用预算表'!B15</f>
        <v>84660</v>
      </c>
      <c r="C15" s="73">
        <f>'[3]17)管理费用预算表'!C15+'[4]18)管理费用预算表'!C15+'[5]18)管理费用预算表'!C15</f>
        <v>34823.04</v>
      </c>
      <c r="D15" s="73">
        <f>'[3]17)管理费用预算表'!D15+'[4]18)管理费用预算表'!D15+'[5]18)管理费用预算表'!D15</f>
        <v>9580</v>
      </c>
      <c r="E15" s="73">
        <f t="shared" si="2"/>
        <v>44403.04</v>
      </c>
      <c r="F15" s="74">
        <f t="shared" si="5"/>
        <v>0.5244866524923223</v>
      </c>
      <c r="G15" s="73">
        <f t="shared" si="4"/>
        <v>65344</v>
      </c>
      <c r="H15" s="73">
        <f>'[3]17)管理费用预算表'!H15+'[4]18)管理费用预算表'!H15+'[5]18)管理费用预算表'!H15</f>
        <v>17906</v>
      </c>
      <c r="I15" s="73">
        <f>'[3]17)管理费用预算表'!I15+'[4]18)管理费用预算表'!I15+'[5]18)管理费用预算表'!I15</f>
        <v>17326</v>
      </c>
      <c r="J15" s="73">
        <f>'[3]17)管理费用预算表'!J15+'[4]18)管理费用预算表'!J15+'[5]18)管理费用预算表'!J15</f>
        <v>15086</v>
      </c>
      <c r="K15" s="73">
        <f>'[3]17)管理费用预算表'!K15+'[4]18)管理费用预算表'!K15+'[5]18)管理费用预算表'!K15</f>
        <v>15026</v>
      </c>
      <c r="L15" s="82">
        <f t="shared" si="6"/>
        <v>1.4716109527635945</v>
      </c>
      <c r="M15" s="59"/>
    </row>
    <row r="16" spans="1:13" ht="18" customHeight="1">
      <c r="A16" s="72" t="s">
        <v>777</v>
      </c>
      <c r="B16" s="73">
        <f>'[3]17)管理费用预算表'!B16+'[4]18)管理费用预算表'!B16+'[5]18)管理费用预算表'!B16</f>
        <v>391112</v>
      </c>
      <c r="C16" s="73">
        <f>'[3]17)管理费用预算表'!C16+'[4]18)管理费用预算表'!C16+'[5]18)管理费用预算表'!C16</f>
        <v>95285</v>
      </c>
      <c r="D16" s="73">
        <f>'[3]17)管理费用预算表'!D16+'[4]18)管理费用预算表'!D16+'[5]18)管理费用预算表'!D16</f>
        <v>4312</v>
      </c>
      <c r="E16" s="73">
        <f aca="true" t="shared" si="7" ref="E16:E23">C16+D16</f>
        <v>99597</v>
      </c>
      <c r="F16" s="74">
        <f t="shared" si="5"/>
        <v>0.25465084170263247</v>
      </c>
      <c r="G16" s="73">
        <f t="shared" si="4"/>
        <v>167394</v>
      </c>
      <c r="H16" s="73">
        <f>'[3]17)管理费用预算表'!H16+'[4]18)管理费用预算表'!H16+'[5]18)管理费用预算表'!H16</f>
        <v>13936</v>
      </c>
      <c r="I16" s="73">
        <f>'[3]17)管理费用预算表'!I16+'[4]18)管理费用预算表'!I16+'[5]18)管理费用预算表'!I16</f>
        <v>55686</v>
      </c>
      <c r="J16" s="73">
        <f>'[3]17)管理费用预算表'!J16+'[4]18)管理费用预算表'!J16+'[5]18)管理费用预算表'!J16</f>
        <v>44836</v>
      </c>
      <c r="K16" s="73">
        <f>'[3]17)管理费用预算表'!K16+'[4]18)管理费用预算表'!K16+'[5]18)管理费用预算表'!K16</f>
        <v>52936</v>
      </c>
      <c r="L16" s="82">
        <f t="shared" si="6"/>
        <v>1.6807132744962197</v>
      </c>
      <c r="M16" s="59"/>
    </row>
    <row r="17" spans="1:13" ht="18" customHeight="1">
      <c r="A17" s="72" t="s">
        <v>778</v>
      </c>
      <c r="B17" s="73">
        <f>'[3]17)管理费用预算表'!B17+'[4]18)管理费用预算表'!B17+'[5]18)管理费用预算表'!B17</f>
        <v>1432035.72</v>
      </c>
      <c r="C17" s="73">
        <f>'[3]17)管理费用预算表'!C17+'[4]18)管理费用预算表'!C17+'[5]18)管理费用预算表'!C17</f>
        <v>999862.21</v>
      </c>
      <c r="D17" s="73">
        <f>'[3]17)管理费用预算表'!D17+'[4]18)管理费用预算表'!D17+'[5]18)管理费用预算表'!D17</f>
        <v>305355.88</v>
      </c>
      <c r="E17" s="73">
        <f t="shared" si="7"/>
        <v>1305218.0899999999</v>
      </c>
      <c r="F17" s="74">
        <f t="shared" si="5"/>
        <v>0.9114424115063274</v>
      </c>
      <c r="G17" s="73">
        <f t="shared" si="4"/>
        <v>1356413.4600000002</v>
      </c>
      <c r="H17" s="73">
        <f>'[3]17)管理费用预算表'!H17+'[4]18)管理费用预算表'!H17+'[5]18)管理费用预算表'!H17</f>
        <v>331087.47000000003</v>
      </c>
      <c r="I17" s="73">
        <f>'[3]17)管理费用预算表'!I17+'[4]18)管理费用预算表'!I17+'[5]18)管理费用预算表'!I17</f>
        <v>341775.33</v>
      </c>
      <c r="J17" s="73">
        <f>'[3]17)管理费用预算表'!J17+'[4]18)管理费用预算表'!J17+'[5]18)管理费用预算表'!J17</f>
        <v>341775.33</v>
      </c>
      <c r="K17" s="73">
        <f>'[3]17)管理费用预算表'!K17+'[4]18)管理费用预算表'!K17+'[5]18)管理费用预算表'!K17</f>
        <v>341775.33</v>
      </c>
      <c r="L17" s="82">
        <f t="shared" si="6"/>
        <v>1.0392236135801645</v>
      </c>
      <c r="M17" s="59"/>
    </row>
    <row r="18" spans="1:13" ht="18" customHeight="1">
      <c r="A18" s="72" t="s">
        <v>779</v>
      </c>
      <c r="B18" s="73">
        <f>'[3]17)管理费用预算表'!B18+'[4]18)管理费用预算表'!B18+'[5]18)管理费用预算表'!B18</f>
        <v>672156</v>
      </c>
      <c r="C18" s="73">
        <f>'[3]17)管理费用预算表'!C18+'[4]18)管理费用预算表'!C18+'[5]18)管理费用预算表'!C18</f>
        <v>471171</v>
      </c>
      <c r="D18" s="73">
        <f>'[3]17)管理费用预算表'!D18+'[4]18)管理费用预算表'!D18+'[5]18)管理费用预算表'!D18</f>
        <v>145908</v>
      </c>
      <c r="E18" s="73">
        <f t="shared" si="7"/>
        <v>617079</v>
      </c>
      <c r="F18" s="74">
        <f t="shared" si="5"/>
        <v>0.9180592005427312</v>
      </c>
      <c r="G18" s="73">
        <f t="shared" si="4"/>
        <v>624159</v>
      </c>
      <c r="H18" s="73">
        <f>'[3]17)管理费用预算表'!H18+'[4]18)管理费用预算表'!H18+'[5]18)管理费用预算表'!H18</f>
        <v>153702</v>
      </c>
      <c r="I18" s="73">
        <f>'[3]17)管理费用预算表'!I18+'[4]18)管理费用预算表'!I18+'[5]18)管理费用预算表'!I18</f>
        <v>156819</v>
      </c>
      <c r="J18" s="73">
        <f>'[3]17)管理费用预算表'!J18+'[4]18)管理费用预算表'!J18+'[5]18)管理费用预算表'!J18</f>
        <v>156819</v>
      </c>
      <c r="K18" s="73">
        <f>'[3]17)管理费用预算表'!K18+'[4]18)管理费用预算表'!K18+'[5]18)管理费用预算表'!K18</f>
        <v>156819</v>
      </c>
      <c r="L18" s="82">
        <f t="shared" si="6"/>
        <v>1.0114734094013895</v>
      </c>
      <c r="M18" s="59"/>
    </row>
    <row r="19" spans="1:13" ht="18" customHeight="1">
      <c r="A19" s="72" t="s">
        <v>810</v>
      </c>
      <c r="B19" s="76">
        <f>SUM(B20:B21)</f>
        <v>140450</v>
      </c>
      <c r="C19" s="73">
        <f>SUM(C20:C21)</f>
        <v>72119.6</v>
      </c>
      <c r="D19" s="76">
        <f>SUM(D20:D21)</f>
        <v>24510</v>
      </c>
      <c r="E19" s="76">
        <f>SUM(E20:E21)</f>
        <v>96629.6</v>
      </c>
      <c r="F19" s="74">
        <f t="shared" si="5"/>
        <v>0.6880000000000001</v>
      </c>
      <c r="G19" s="76">
        <f>SUM(G20:G21)</f>
        <v>98040</v>
      </c>
      <c r="H19" s="76">
        <f>SUM(H20:H21)</f>
        <v>24510</v>
      </c>
      <c r="I19" s="76">
        <f>SUM(I20:I21)</f>
        <v>24510</v>
      </c>
      <c r="J19" s="76">
        <f>SUM(J20:J21)</f>
        <v>24510</v>
      </c>
      <c r="K19" s="76">
        <f>SUM(K20:K21)</f>
        <v>24510</v>
      </c>
      <c r="L19" s="82">
        <f t="shared" si="6"/>
        <v>1.0145959416162336</v>
      </c>
      <c r="M19" s="59"/>
    </row>
    <row r="20" spans="1:13" ht="18" customHeight="1">
      <c r="A20" s="72" t="s">
        <v>811</v>
      </c>
      <c r="B20" s="73">
        <f>'[3]17)管理费用预算表'!B20+'[4]18)管理费用预算表'!B20+'[5]18)管理费用预算表'!B20</f>
        <v>132000</v>
      </c>
      <c r="C20" s="73">
        <f>'[3]17)管理费用预算表'!C20+'[4]18)管理费用预算表'!C20+'[5]18)管理费用预算表'!C20</f>
        <v>63000</v>
      </c>
      <c r="D20" s="73">
        <f>'[3]17)管理费用预算表'!D20+'[4]18)管理费用预算表'!D20+'[5]18)管理费用预算表'!D20</f>
        <v>21000</v>
      </c>
      <c r="E20" s="73">
        <f t="shared" si="7"/>
        <v>84000</v>
      </c>
      <c r="F20" s="74">
        <f t="shared" si="5"/>
        <v>0.6363636363636364</v>
      </c>
      <c r="G20" s="73">
        <f>SUM(H20:K20)</f>
        <v>84000</v>
      </c>
      <c r="H20" s="73">
        <f>'[3]17)管理费用预算表'!H20+'[4]18)管理费用预算表'!H20+'[5]18)管理费用预算表'!H20</f>
        <v>21000</v>
      </c>
      <c r="I20" s="73">
        <f>'[3]17)管理费用预算表'!I20+'[4]18)管理费用预算表'!I20+'[5]18)管理费用预算表'!I20</f>
        <v>21000</v>
      </c>
      <c r="J20" s="73">
        <f>'[3]17)管理费用预算表'!J20+'[4]18)管理费用预算表'!J20+'[5]18)管理费用预算表'!J20</f>
        <v>21000</v>
      </c>
      <c r="K20" s="73">
        <f>'[3]17)管理费用预算表'!K20+'[4]18)管理费用预算表'!K20+'[5]18)管理费用预算表'!K20</f>
        <v>21000</v>
      </c>
      <c r="L20" s="82">
        <f t="shared" si="6"/>
        <v>1</v>
      </c>
      <c r="M20" s="59"/>
    </row>
    <row r="21" spans="1:13" ht="18" customHeight="1">
      <c r="A21" s="75" t="s">
        <v>812</v>
      </c>
      <c r="B21" s="73">
        <f>'[3]17)管理费用预算表'!B21+'[4]18)管理费用预算表'!B21+'[5]18)管理费用预算表'!B21</f>
        <v>8450</v>
      </c>
      <c r="C21" s="73">
        <f>'[3]17)管理费用预算表'!C21+'[4]18)管理费用预算表'!C21+'[5]18)管理费用预算表'!C21</f>
        <v>9119.6</v>
      </c>
      <c r="D21" s="73">
        <f>'[3]17)管理费用预算表'!D21+'[4]18)管理费用预算表'!D21+'[5]18)管理费用预算表'!D21</f>
        <v>3510</v>
      </c>
      <c r="E21" s="73">
        <f t="shared" si="7"/>
        <v>12629.6</v>
      </c>
      <c r="F21" s="74">
        <f t="shared" si="5"/>
        <v>1.4946272189349112</v>
      </c>
      <c r="G21" s="73">
        <f>SUM(H21:K21)</f>
        <v>14040</v>
      </c>
      <c r="H21" s="73">
        <f>'[3]17)管理费用预算表'!H21+'[4]18)管理费用预算表'!H21+'[5]18)管理费用预算表'!H21</f>
        <v>3510</v>
      </c>
      <c r="I21" s="73">
        <f>'[3]17)管理费用预算表'!I21+'[4]18)管理费用预算表'!I21+'[5]18)管理费用预算表'!I21</f>
        <v>3510</v>
      </c>
      <c r="J21" s="73">
        <f>'[3]17)管理费用预算表'!J21+'[4]18)管理费用预算表'!J21+'[5]18)管理费用预算表'!J21</f>
        <v>3510</v>
      </c>
      <c r="K21" s="73">
        <f>'[3]17)管理费用预算表'!K21+'[4]18)管理费用预算表'!K21+'[5]18)管理费用预算表'!K21</f>
        <v>3510</v>
      </c>
      <c r="L21" s="82">
        <f t="shared" si="6"/>
        <v>1.1116741622854247</v>
      </c>
      <c r="M21" s="59"/>
    </row>
    <row r="22" spans="1:13" ht="18" customHeight="1">
      <c r="A22" s="72" t="s">
        <v>780</v>
      </c>
      <c r="B22" s="73">
        <f>'[3]17)管理费用预算表'!B22+'[4]18)管理费用预算表'!B22+'[5]18)管理费用预算表'!B22</f>
        <v>127056.102</v>
      </c>
      <c r="C22" s="73">
        <f>'[3]17)管理费用预算表'!C22+'[4]18)管理费用预算表'!C22+'[5]18)管理费用预算表'!C22</f>
        <v>0</v>
      </c>
      <c r="D22" s="73">
        <f>'[3]17)管理费用预算表'!D22+'[4]18)管理费用预算表'!D22+'[5]18)管理费用预算表'!D22</f>
        <v>22043.24</v>
      </c>
      <c r="E22" s="73">
        <f t="shared" si="7"/>
        <v>22043.24</v>
      </c>
      <c r="F22" s="74">
        <f t="shared" si="5"/>
        <v>0.1734921790690541</v>
      </c>
      <c r="G22" s="73">
        <f>SUM(H22:K22)</f>
        <v>117108.78029999998</v>
      </c>
      <c r="H22" s="73">
        <f>'[3]17)管理费用预算表'!H22+'[4]18)管理费用预算表'!H22+'[5]18)管理费用预算表'!H22</f>
        <v>31630.963424999998</v>
      </c>
      <c r="I22" s="73">
        <f>'[3]17)管理费用预算表'!I22+'[4]18)管理费用预算表'!I22+'[5]18)管理费用预算表'!I22</f>
        <v>28493.705624999995</v>
      </c>
      <c r="J22" s="73">
        <f>'[3]17)管理费用预算表'!J22+'[4]18)管理费用预算表'!J22+'[5]18)管理费用预算表'!J22</f>
        <v>28481.705624999995</v>
      </c>
      <c r="K22" s="73">
        <f>'[3]17)管理费用预算表'!K22+'[4]18)管理费用预算表'!K22+'[5]18)管理费用预算表'!K22</f>
        <v>28502.405624999992</v>
      </c>
      <c r="L22" s="82">
        <f t="shared" si="6"/>
        <v>5.312684537300323</v>
      </c>
      <c r="M22" s="59"/>
    </row>
    <row r="23" spans="1:13" ht="18" customHeight="1">
      <c r="A23" s="72" t="s">
        <v>781</v>
      </c>
      <c r="B23" s="73">
        <f>'[3]17)管理费用预算表'!B23+'[4]18)管理费用预算表'!B23+'[5]18)管理费用预算表'!B23</f>
        <v>169408.13599999997</v>
      </c>
      <c r="C23" s="73">
        <f>'[3]17)管理费用预算表'!C23+'[4]18)管理费用预算表'!C23+'[5]18)管理费用预算表'!C23</f>
        <v>151828.13</v>
      </c>
      <c r="D23" s="73">
        <f>'[3]17)管理费用预算表'!D23+'[4]18)管理费用预算表'!D23+'[5]18)管理费用预算表'!D23</f>
        <v>39205.89</v>
      </c>
      <c r="E23" s="73">
        <f t="shared" si="7"/>
        <v>191034.02000000002</v>
      </c>
      <c r="F23" s="74">
        <f t="shared" si="5"/>
        <v>1.1276555218103577</v>
      </c>
      <c r="G23" s="73">
        <f>SUM(H23:K23)</f>
        <v>164714.13040000002</v>
      </c>
      <c r="H23" s="73">
        <f>'[3]17)管理费用预算表'!H23+'[4]18)管理费用预算表'!H23+'[5]18)管理费用预算表'!H23</f>
        <v>43990.257900000004</v>
      </c>
      <c r="I23" s="73">
        <f>'[3]17)管理费用预算表'!I23+'[4]18)管理费用预算表'!I23+'[5]18)管理费用预算表'!I23</f>
        <v>40242.7575</v>
      </c>
      <c r="J23" s="73">
        <f>'[3]17)管理费用预算表'!J23+'[4]18)管理费用预算表'!J23+'[5]18)管理费用预算表'!J23</f>
        <v>40226.7575</v>
      </c>
      <c r="K23" s="73">
        <f>'[3]17)管理费用预算表'!K23+'[4]18)管理费用预算表'!K23+'[5]18)管理费用预算表'!K23</f>
        <v>40254.357500000006</v>
      </c>
      <c r="L23" s="82">
        <f t="shared" si="6"/>
        <v>0.8622240708749154</v>
      </c>
      <c r="M23" s="59"/>
    </row>
    <row r="24" spans="1:13" ht="18" customHeight="1">
      <c r="A24" s="75" t="s">
        <v>813</v>
      </c>
      <c r="B24" s="76">
        <f>SUM(B25:B29)+SUM(B34:B47)+SUM(B53:B54)+SUM(B63:B66)</f>
        <v>1701764</v>
      </c>
      <c r="C24" s="73">
        <f>SUM(C25:C29)+SUM(C34:C47)+SUM(C53:C54)+SUM(C63:C66)</f>
        <v>854701.62</v>
      </c>
      <c r="D24" s="76">
        <f>SUM(D25:D29)+SUM(D34:D47)+SUM(D53:D54)+SUM(D63:D66)</f>
        <v>423325.95</v>
      </c>
      <c r="E24" s="76">
        <f>SUM(E25:E29)+SUM(E34:E47)+SUM(E53:E54)+SUM(E63:E66)</f>
        <v>1278027.5699999998</v>
      </c>
      <c r="F24" s="74">
        <f t="shared" si="5"/>
        <v>0.7510016488772825</v>
      </c>
      <c r="G24" s="76">
        <f>SUM(G25:G29)+SUM(G34:G47)+SUM(G53:G54)+SUM(G63:G66)</f>
        <v>2387066.75</v>
      </c>
      <c r="H24" s="76">
        <f>SUM(H25:H29)+SUM(H34:H47)+SUM(H53:H54)+SUM(H63:H66)</f>
        <v>420198</v>
      </c>
      <c r="I24" s="76">
        <f>SUM(I25:I29)+SUM(I34:I47)+SUM(I53:I54)+SUM(I63:I66)</f>
        <v>1058810</v>
      </c>
      <c r="J24" s="76">
        <f>SUM(J25:J29)+SUM(J34:J47)+SUM(J53:J54)+SUM(J63:J66)</f>
        <v>419866.75</v>
      </c>
      <c r="K24" s="76">
        <f>SUM(K25:K29)+SUM(K34:K47)+SUM(K53:K54)+SUM(K63:K66)</f>
        <v>488192</v>
      </c>
      <c r="L24" s="82">
        <f t="shared" si="6"/>
        <v>1.867774065312222</v>
      </c>
      <c r="M24" s="59"/>
    </row>
    <row r="25" spans="1:13" ht="18" customHeight="1">
      <c r="A25" s="72" t="s">
        <v>660</v>
      </c>
      <c r="B25" s="73">
        <f>'[3]17)管理费用预算表'!B25+'[4]18)管理费用预算表'!B25+'[5]18)管理费用预算表'!B25</f>
        <v>102300</v>
      </c>
      <c r="C25" s="73">
        <f>'[3]17)管理费用预算表'!C25+'[4]18)管理费用预算表'!C25+'[5]18)管理费用预算表'!C25</f>
        <v>94835.69</v>
      </c>
      <c r="D25" s="73">
        <f>'[3]17)管理费用预算表'!D25+'[4]18)管理费用预算表'!D25+'[5]18)管理费用预算表'!D25</f>
        <v>17100</v>
      </c>
      <c r="E25" s="73">
        <f>C25+D25</f>
        <v>111935.69</v>
      </c>
      <c r="F25" s="74">
        <f t="shared" si="5"/>
        <v>1.0941905180840665</v>
      </c>
      <c r="G25" s="73">
        <f>SUM(H25:K25)</f>
        <v>155928</v>
      </c>
      <c r="H25" s="73">
        <f>'[3]17)管理费用预算表'!H25+'[4]18)管理费用预算表'!H25+'[5]18)管理费用预算表'!H25</f>
        <v>39182</v>
      </c>
      <c r="I25" s="73">
        <f>'[3]17)管理费用预算表'!I25+'[4]18)管理费用预算表'!I25+'[5]18)管理费用预算表'!I25</f>
        <v>42082</v>
      </c>
      <c r="J25" s="73">
        <f>'[3]17)管理费用预算表'!J25+'[4]18)管理费用预算表'!J25+'[5]18)管理费用预算表'!J25</f>
        <v>36082</v>
      </c>
      <c r="K25" s="73">
        <f>'[3]17)管理费用预算表'!K25+'[4]18)管理费用预算表'!K25+'[5]18)管理费用预算表'!K25</f>
        <v>38582</v>
      </c>
      <c r="L25" s="82">
        <f t="shared" si="6"/>
        <v>1.3930141494638573</v>
      </c>
      <c r="M25" s="59"/>
    </row>
    <row r="26" spans="1:13" ht="18" customHeight="1">
      <c r="A26" s="72" t="s">
        <v>661</v>
      </c>
      <c r="B26" s="73">
        <f>'[3]17)管理费用预算表'!B26+'[4]18)管理费用预算表'!B26+'[5]18)管理费用预算表'!B26</f>
        <v>40536</v>
      </c>
      <c r="C26" s="73">
        <f>'[3]17)管理费用预算表'!C26+'[4]18)管理费用预算表'!C26+'[5]18)管理费用预算表'!C26</f>
        <v>19904.73</v>
      </c>
      <c r="D26" s="73">
        <f>'[3]17)管理费用预算表'!D26+'[4]18)管理费用预算表'!D26+'[5]18)管理费用预算表'!D26</f>
        <v>5832</v>
      </c>
      <c r="E26" s="73">
        <f>C26+D26</f>
        <v>25736.73</v>
      </c>
      <c r="F26" s="74">
        <f t="shared" si="5"/>
        <v>0.6349104499703967</v>
      </c>
      <c r="G26" s="73">
        <f>SUM(H26:K26)</f>
        <v>59936</v>
      </c>
      <c r="H26" s="73">
        <f>'[3]17)管理费用预算表'!H26+'[4]18)管理费用预算表'!H26+'[5]18)管理费用预算表'!H26</f>
        <v>14564</v>
      </c>
      <c r="I26" s="73">
        <f>'[3]17)管理费用预算表'!I26+'[4]18)管理费用预算表'!I26+'[5]18)管理费用预算表'!I26</f>
        <v>15404</v>
      </c>
      <c r="J26" s="73">
        <f>'[3]17)管理费用预算表'!J26+'[4]18)管理费用预算表'!J26+'[5]18)管理费用预算表'!J26</f>
        <v>15404</v>
      </c>
      <c r="K26" s="73">
        <f>'[3]17)管理费用预算表'!K26+'[4]18)管理费用预算表'!K26+'[5]18)管理费用预算表'!K26</f>
        <v>14564</v>
      </c>
      <c r="L26" s="82">
        <f t="shared" si="6"/>
        <v>2.328811779895892</v>
      </c>
      <c r="M26" s="59"/>
    </row>
    <row r="27" spans="1:13" ht="18" customHeight="1">
      <c r="A27" s="72" t="s">
        <v>814</v>
      </c>
      <c r="B27" s="73">
        <f>'[3]17)管理费用预算表'!B27+'[4]18)管理费用预算表'!B27+'[5]18)管理费用预算表'!B27</f>
        <v>0</v>
      </c>
      <c r="C27" s="73">
        <f>'[3]17)管理费用预算表'!C27+'[4]18)管理费用预算表'!C27+'[5]18)管理费用预算表'!C27</f>
        <v>0</v>
      </c>
      <c r="D27" s="73">
        <f>'[3]17)管理费用预算表'!D27+'[4]18)管理费用预算表'!D27+'[5]18)管理费用预算表'!D27</f>
        <v>0</v>
      </c>
      <c r="E27" s="73">
        <f>C27+D27</f>
        <v>0</v>
      </c>
      <c r="F27" s="74" t="e">
        <f t="shared" si="5"/>
        <v>#DIV/0!</v>
      </c>
      <c r="G27" s="73">
        <f>SUM(H27:K27)</f>
        <v>3000</v>
      </c>
      <c r="H27" s="73">
        <f>'[3]17)管理费用预算表'!H27+'[4]18)管理费用预算表'!H27+'[5]18)管理费用预算表'!H27</f>
        <v>750</v>
      </c>
      <c r="I27" s="73">
        <f>'[3]17)管理费用预算表'!I27+'[4]18)管理费用预算表'!I27+'[5]18)管理费用预算表'!I27</f>
        <v>750</v>
      </c>
      <c r="J27" s="73">
        <f>'[3]17)管理费用预算表'!J27+'[4]18)管理费用预算表'!J27+'[5]18)管理费用预算表'!J27</f>
        <v>750</v>
      </c>
      <c r="K27" s="73">
        <f>'[3]17)管理费用预算表'!K27+'[4]18)管理费用预算表'!K27+'[5]18)管理费用预算表'!K27</f>
        <v>750</v>
      </c>
      <c r="L27" s="82" t="e">
        <f t="shared" si="6"/>
        <v>#DIV/0!</v>
      </c>
      <c r="M27" s="59"/>
    </row>
    <row r="28" spans="1:13" ht="18" customHeight="1">
      <c r="A28" s="72" t="s">
        <v>815</v>
      </c>
      <c r="B28" s="73">
        <f>'[3]17)管理费用预算表'!B28+'[4]18)管理费用预算表'!B28+'[5]18)管理费用预算表'!B28</f>
        <v>37564</v>
      </c>
      <c r="C28" s="73">
        <f>'[3]17)管理费用预算表'!C28+'[4]18)管理费用预算表'!C28+'[5]18)管理费用预算表'!C28</f>
        <v>27058.09</v>
      </c>
      <c r="D28" s="73">
        <f>'[3]17)管理费用预算表'!D28+'[4]18)管理费用预算表'!D28+'[5]18)管理费用预算表'!D28</f>
        <v>8408</v>
      </c>
      <c r="E28" s="73">
        <f>C28+D28</f>
        <v>35466.09</v>
      </c>
      <c r="F28" s="74">
        <f t="shared" si="5"/>
        <v>0.9441510488765839</v>
      </c>
      <c r="G28" s="73">
        <f>SUM(H28:K28)</f>
        <v>38668</v>
      </c>
      <c r="H28" s="73">
        <f>'[3]17)管理费用预算表'!H28+'[4]18)管理费用预算表'!H28+'[5]18)管理费用预算表'!H28</f>
        <v>9667</v>
      </c>
      <c r="I28" s="73">
        <f>'[3]17)管理费用预算表'!I28+'[4]18)管理费用预算表'!I28+'[5]18)管理费用预算表'!I28</f>
        <v>9667</v>
      </c>
      <c r="J28" s="73">
        <f>'[3]17)管理费用预算表'!J28+'[4]18)管理费用预算表'!J28+'[5]18)管理费用预算表'!J28</f>
        <v>9667</v>
      </c>
      <c r="K28" s="73">
        <f>'[3]17)管理费用预算表'!K28+'[4]18)管理费用预算表'!K28+'[5]18)管理费用预算表'!K28</f>
        <v>9667</v>
      </c>
      <c r="L28" s="82">
        <f t="shared" si="6"/>
        <v>1.0902808852061223</v>
      </c>
      <c r="M28" s="59"/>
    </row>
    <row r="29" spans="1:13" ht="18" customHeight="1">
      <c r="A29" s="72" t="s">
        <v>816</v>
      </c>
      <c r="B29" s="76">
        <f>SUM(B30:B33)</f>
        <v>271000</v>
      </c>
      <c r="C29" s="73">
        <f>SUM(C30:C33)</f>
        <v>167001.29</v>
      </c>
      <c r="D29" s="76">
        <f>SUM(D30:D33)</f>
        <v>131358.5</v>
      </c>
      <c r="E29" s="76">
        <f>SUM(E30:E33)</f>
        <v>298359.79</v>
      </c>
      <c r="F29" s="74">
        <f t="shared" si="5"/>
        <v>1.1009586346863467</v>
      </c>
      <c r="G29" s="76">
        <f>SUM(G30:G33)</f>
        <v>333098.75</v>
      </c>
      <c r="H29" s="76">
        <f>SUM(H30:H33)</f>
        <v>15350</v>
      </c>
      <c r="I29" s="76">
        <f>SUM(I30:I33)</f>
        <v>152050</v>
      </c>
      <c r="J29" s="76">
        <f>SUM(J30:J33)</f>
        <v>17648.75</v>
      </c>
      <c r="K29" s="76">
        <f>SUM(K30:K33)</f>
        <v>148050</v>
      </c>
      <c r="L29" s="82">
        <f t="shared" si="6"/>
        <v>1.1164331158699368</v>
      </c>
      <c r="M29" s="59"/>
    </row>
    <row r="30" spans="1:13" ht="18" customHeight="1">
      <c r="A30" s="72" t="s">
        <v>817</v>
      </c>
      <c r="B30" s="73">
        <f>'[3]17)管理费用预算表'!B30+'[4]18)管理费用预算表'!B30+'[5]18)管理费用预算表'!B30</f>
        <v>191300</v>
      </c>
      <c r="C30" s="73">
        <f>'[3]17)管理费用预算表'!C30+'[4]18)管理费用预算表'!C30+'[5]18)管理费用预算表'!C30</f>
        <v>17933.22</v>
      </c>
      <c r="D30" s="73">
        <f>'[3]17)管理费用预算表'!D30+'[4]18)管理费用预算表'!D30+'[5]18)管理费用预算表'!D30</f>
        <v>3500</v>
      </c>
      <c r="E30" s="73">
        <f aca="true" t="shared" si="8" ref="E30:E36">C30+D30</f>
        <v>21433.22</v>
      </c>
      <c r="F30" s="74">
        <f t="shared" si="5"/>
        <v>0.112039832723471</v>
      </c>
      <c r="G30" s="73">
        <f aca="true" t="shared" si="9" ref="G30:G41">SUM(H30:K30)</f>
        <v>49200</v>
      </c>
      <c r="H30" s="73">
        <f>'[3]17)管理费用预算表'!H30+'[4]18)管理费用预算表'!H30+'[5]18)管理费用预算表'!H30</f>
        <v>12300</v>
      </c>
      <c r="I30" s="73">
        <f>'[3]17)管理费用预算表'!I30+'[4]18)管理费用预算表'!I30+'[5]18)管理费用预算表'!I30</f>
        <v>12300</v>
      </c>
      <c r="J30" s="73">
        <f>'[3]17)管理费用预算表'!J30+'[4]18)管理费用预算表'!J30+'[5]18)管理费用预算表'!J30</f>
        <v>12300</v>
      </c>
      <c r="K30" s="73">
        <f>'[3]17)管理费用预算表'!K30+'[4]18)管理费用预算表'!K30+'[5]18)管理费用预算表'!K30</f>
        <v>12300</v>
      </c>
      <c r="L30" s="82">
        <f t="shared" si="6"/>
        <v>2.2955020290931554</v>
      </c>
      <c r="M30" s="59"/>
    </row>
    <row r="31" spans="1:13" ht="18" customHeight="1">
      <c r="A31" s="72" t="s">
        <v>818</v>
      </c>
      <c r="B31" s="73">
        <f>'[3]17)管理费用预算表'!B31+'[4]18)管理费用预算表'!B31+'[5]18)管理费用预算表'!B31</f>
        <v>58000</v>
      </c>
      <c r="C31" s="73">
        <f>'[3]17)管理费用预算表'!C31+'[4]18)管理费用预算表'!C31+'[5]18)管理费用预算表'!C31</f>
        <v>14316.46</v>
      </c>
      <c r="D31" s="73">
        <f>'[3]17)管理费用预算表'!D31+'[4]18)管理费用预算表'!D31+'[5]18)管理费用预算表'!D31</f>
        <v>500</v>
      </c>
      <c r="E31" s="73">
        <f t="shared" si="8"/>
        <v>14816.46</v>
      </c>
      <c r="F31" s="74">
        <f t="shared" si="5"/>
        <v>0.2554562068965517</v>
      </c>
      <c r="G31" s="73">
        <f t="shared" si="9"/>
        <v>3000</v>
      </c>
      <c r="H31" s="73">
        <f>'[3]17)管理费用预算表'!H31+'[4]18)管理费用预算表'!H31+'[5]18)管理费用预算表'!H31</f>
        <v>750</v>
      </c>
      <c r="I31" s="73">
        <f>'[3]17)管理费用预算表'!I31+'[4]18)管理费用预算表'!I31+'[5]18)管理费用预算表'!I31</f>
        <v>750</v>
      </c>
      <c r="J31" s="73">
        <f>'[3]17)管理费用预算表'!J31+'[4]18)管理费用预算表'!J31+'[5]18)管理费用预算表'!J31</f>
        <v>750</v>
      </c>
      <c r="K31" s="73">
        <f>'[3]17)管理费用预算表'!K31+'[4]18)管理费用预算表'!K31+'[5]18)管理费用预算表'!K31</f>
        <v>750</v>
      </c>
      <c r="L31" s="82">
        <f t="shared" si="6"/>
        <v>0.2024775148719735</v>
      </c>
      <c r="M31" s="59"/>
    </row>
    <row r="32" spans="1:13" ht="18" customHeight="1">
      <c r="A32" s="72" t="s">
        <v>702</v>
      </c>
      <c r="B32" s="73">
        <f>'[3]17)管理费用预算表'!B32+'[4]18)管理费用预算表'!B32+'[5]18)管理费用预算表'!B32</f>
        <v>19700</v>
      </c>
      <c r="C32" s="73">
        <f>'[3]17)管理费用预算表'!C32+'[4]18)管理费用预算表'!C32+'[5]18)管理费用预算表'!C32</f>
        <v>6788.110000000001</v>
      </c>
      <c r="D32" s="73">
        <f>'[3]17)管理费用预算表'!D32+'[4]18)管理费用预算表'!D32+'[5]18)管理费用预算表'!D32</f>
        <v>0</v>
      </c>
      <c r="E32" s="73">
        <f t="shared" si="8"/>
        <v>6788.110000000001</v>
      </c>
      <c r="F32" s="74">
        <f t="shared" si="5"/>
        <v>0.3445741116751269</v>
      </c>
      <c r="G32" s="73">
        <f t="shared" si="9"/>
        <v>10898.75</v>
      </c>
      <c r="H32" s="73">
        <f>'[3]17)管理费用预算表'!H32+'[4]18)管理费用预算表'!H32+'[5]18)管理费用预算表'!H32</f>
        <v>2300</v>
      </c>
      <c r="I32" s="73">
        <f>'[3]17)管理费用预算表'!I32+'[4]18)管理费用预算表'!I32+'[5]18)管理费用预算表'!I32</f>
        <v>4000</v>
      </c>
      <c r="J32" s="73">
        <f>'[3]17)管理费用预算表'!J32+'[4]18)管理费用预算表'!J32+'[5]18)管理费用预算表'!J32</f>
        <v>4598.75</v>
      </c>
      <c r="K32" s="73">
        <f>'[3]17)管理费用预算表'!K32+'[4]18)管理费用预算表'!K32+'[5]18)管理费用预算表'!K32</f>
        <v>0</v>
      </c>
      <c r="L32" s="82">
        <f t="shared" si="6"/>
        <v>1.6055647300942382</v>
      </c>
      <c r="M32" s="59"/>
    </row>
    <row r="33" spans="1:13" ht="18" customHeight="1">
      <c r="A33" s="72" t="s">
        <v>819</v>
      </c>
      <c r="B33" s="73">
        <f>'[3]17)管理费用预算表'!B33+'[4]18)管理费用预算表'!B33+'[5]18)管理费用预算表'!B33</f>
        <v>2000</v>
      </c>
      <c r="C33" s="73">
        <f>'[3]17)管理费用预算表'!C33+'[4]18)管理费用预算表'!C33+'[5]18)管理费用预算表'!C33</f>
        <v>127963.5</v>
      </c>
      <c r="D33" s="73">
        <f>'[3]17)管理费用预算表'!D33+'[4]18)管理费用预算表'!D33+'[5]18)管理费用预算表'!D33</f>
        <v>127358.5</v>
      </c>
      <c r="E33" s="73">
        <f t="shared" si="8"/>
        <v>255322</v>
      </c>
      <c r="F33" s="74">
        <f t="shared" si="5"/>
        <v>127.661</v>
      </c>
      <c r="G33" s="73">
        <f t="shared" si="9"/>
        <v>270000</v>
      </c>
      <c r="H33" s="73">
        <f>'[3]17)管理费用预算表'!H33+'[4]18)管理费用预算表'!H33+'[5]18)管理费用预算表'!H33</f>
        <v>0</v>
      </c>
      <c r="I33" s="73">
        <f>'[3]17)管理费用预算表'!I33+'[4]18)管理费用预算表'!I33+'[5]18)管理费用预算表'!I33</f>
        <v>135000</v>
      </c>
      <c r="J33" s="73">
        <f>'[3]17)管理费用预算表'!J33+'[4]18)管理费用预算表'!J33+'[5]18)管理费用预算表'!J33</f>
        <v>0</v>
      </c>
      <c r="K33" s="73">
        <f>'[3]17)管理费用预算表'!K33+'[4]18)管理费用预算表'!K33+'[5]18)管理费用预算表'!K33</f>
        <v>135000</v>
      </c>
      <c r="L33" s="82">
        <f t="shared" si="6"/>
        <v>1.057488191381863</v>
      </c>
      <c r="M33" s="59"/>
    </row>
    <row r="34" spans="1:13" ht="18" customHeight="1">
      <c r="A34" s="75" t="s">
        <v>820</v>
      </c>
      <c r="B34" s="73">
        <f>'[3]17)管理费用预算表'!B34+'[4]18)管理费用预算表'!B34+'[5]18)管理费用预算表'!B34</f>
        <v>3600</v>
      </c>
      <c r="C34" s="73">
        <f>'[3]17)管理费用预算表'!C34+'[4]18)管理费用预算表'!C34+'[5]18)管理费用预算表'!C34</f>
        <v>7200</v>
      </c>
      <c r="D34" s="73">
        <f>'[3]17)管理费用预算表'!D34+'[4]18)管理费用预算表'!D34+'[5]18)管理费用预算表'!D34</f>
        <v>0</v>
      </c>
      <c r="E34" s="73">
        <f t="shared" si="8"/>
        <v>7200</v>
      </c>
      <c r="F34" s="74">
        <f t="shared" si="5"/>
        <v>2</v>
      </c>
      <c r="G34" s="73">
        <f t="shared" si="9"/>
        <v>3600</v>
      </c>
      <c r="H34" s="73">
        <f>'[3]17)管理费用预算表'!H34+'[4]18)管理费用预算表'!H34+'[5]18)管理费用预算表'!H34</f>
        <v>3600</v>
      </c>
      <c r="I34" s="73">
        <f>'[3]17)管理费用预算表'!I34+'[4]18)管理费用预算表'!I34+'[5]18)管理费用预算表'!I34</f>
        <v>0</v>
      </c>
      <c r="J34" s="73">
        <f>'[3]17)管理费用预算表'!J34+'[4]18)管理费用预算表'!J34+'[5]18)管理费用预算表'!J34</f>
        <v>0</v>
      </c>
      <c r="K34" s="73">
        <f>'[3]17)管理费用预算表'!K34+'[4]18)管理费用预算表'!K34+'[5]18)管理费用预算表'!K34</f>
        <v>0</v>
      </c>
      <c r="L34" s="82">
        <f t="shared" si="6"/>
        <v>0.5</v>
      </c>
      <c r="M34" s="59"/>
    </row>
    <row r="35" spans="1:13" ht="18" customHeight="1">
      <c r="A35" s="75" t="s">
        <v>821</v>
      </c>
      <c r="B35" s="73">
        <f>'[3]17)管理费用预算表'!B35+'[4]18)管理费用预算表'!B35+'[5]18)管理费用预算表'!B35</f>
        <v>0</v>
      </c>
      <c r="C35" s="73">
        <f>'[3]17)管理费用预算表'!C35+'[4]18)管理费用预算表'!C35+'[5]18)管理费用预算表'!C35</f>
        <v>0</v>
      </c>
      <c r="D35" s="73">
        <f>'[3]17)管理费用预算表'!D35+'[4]18)管理费用预算表'!D35+'[5]18)管理费用预算表'!D35</f>
        <v>0</v>
      </c>
      <c r="E35" s="73">
        <f t="shared" si="8"/>
        <v>0</v>
      </c>
      <c r="F35" s="74" t="e">
        <f t="shared" si="5"/>
        <v>#DIV/0!</v>
      </c>
      <c r="G35" s="73">
        <f t="shared" si="9"/>
        <v>0</v>
      </c>
      <c r="H35" s="73">
        <f>'[3]17)管理费用预算表'!H35+'[4]18)管理费用预算表'!H35+'[5]18)管理费用预算表'!H35</f>
        <v>0</v>
      </c>
      <c r="I35" s="73">
        <f>'[3]17)管理费用预算表'!I35+'[4]18)管理费用预算表'!I35+'[5]18)管理费用预算表'!I35</f>
        <v>0</v>
      </c>
      <c r="J35" s="73">
        <f>'[3]17)管理费用预算表'!J35+'[4]18)管理费用预算表'!J35+'[5]18)管理费用预算表'!J35</f>
        <v>0</v>
      </c>
      <c r="K35" s="73">
        <f>'[3]17)管理费用预算表'!K35+'[4]18)管理费用预算表'!K35+'[5]18)管理费用预算表'!K35</f>
        <v>0</v>
      </c>
      <c r="L35" s="82" t="e">
        <f t="shared" si="6"/>
        <v>#DIV/0!</v>
      </c>
      <c r="M35" s="59"/>
    </row>
    <row r="36" spans="1:13" ht="18" customHeight="1">
      <c r="A36" s="75" t="s">
        <v>822</v>
      </c>
      <c r="B36" s="73">
        <f>'[3]17)管理费用预算表'!B36+'[4]18)管理费用预算表'!B36+'[5]18)管理费用预算表'!B36</f>
        <v>110352</v>
      </c>
      <c r="C36" s="73">
        <f>'[3]17)管理费用预算表'!C36+'[4]18)管理费用预算表'!C36+'[5]18)管理费用预算表'!C36</f>
        <v>58661.61</v>
      </c>
      <c r="D36" s="73">
        <f>'[3]17)管理费用预算表'!D36+'[4]18)管理费用预算表'!D36+'[5]18)管理费用预算表'!D36</f>
        <v>15080</v>
      </c>
      <c r="E36" s="73">
        <f t="shared" si="8"/>
        <v>73741.61</v>
      </c>
      <c r="F36" s="74">
        <f t="shared" si="5"/>
        <v>0.668239905031173</v>
      </c>
      <c r="G36" s="73">
        <f t="shared" si="9"/>
        <v>116400</v>
      </c>
      <c r="H36" s="73">
        <f>'[3]17)管理费用预算表'!H36+'[4]18)管理费用预算表'!H36+'[5]18)管理费用预算表'!H36</f>
        <v>22850</v>
      </c>
      <c r="I36" s="73">
        <f>'[3]17)管理费用预算表'!I36+'[4]18)管理费用预算表'!I36+'[5]18)管理费用预算表'!I36</f>
        <v>33850</v>
      </c>
      <c r="J36" s="73">
        <f>'[3]17)管理费用预算表'!J36+'[4]18)管理费用预算表'!J36+'[5]18)管理费用预算表'!J36</f>
        <v>36850</v>
      </c>
      <c r="K36" s="73">
        <f>'[3]17)管理费用预算表'!K36+'[4]18)管理费用预算表'!K36+'[5]18)管理费用预算表'!K36</f>
        <v>22850</v>
      </c>
      <c r="L36" s="82">
        <f t="shared" si="6"/>
        <v>1.5784846574410296</v>
      </c>
      <c r="M36" s="59"/>
    </row>
    <row r="37" spans="1:13" ht="18" customHeight="1">
      <c r="A37" s="75" t="s">
        <v>823</v>
      </c>
      <c r="B37" s="73">
        <f>'[3]17)管理费用预算表'!B37+'[4]18)管理费用预算表'!B37+'[5]18)管理费用预算表'!B37</f>
        <v>1200</v>
      </c>
      <c r="C37" s="73">
        <f>'[3]17)管理费用预算表'!C37+'[4]18)管理费用预算表'!C37+'[5]18)管理费用预算表'!C37</f>
        <v>0</v>
      </c>
      <c r="D37" s="73">
        <f>'[3]17)管理费用预算表'!D37+'[4]18)管理费用预算表'!D37+'[5]18)管理费用预算表'!D37</f>
        <v>0</v>
      </c>
      <c r="E37" s="73">
        <f aca="true" t="shared" si="10" ref="E37:E46">C37+D37</f>
        <v>0</v>
      </c>
      <c r="F37" s="74">
        <f t="shared" si="5"/>
        <v>0</v>
      </c>
      <c r="G37" s="73">
        <f t="shared" si="9"/>
        <v>34374</v>
      </c>
      <c r="H37" s="73">
        <f>'[3]17)管理费用预算表'!H37+'[4]18)管理费用预算表'!H37+'[5]18)管理费用预算表'!H37</f>
        <v>300</v>
      </c>
      <c r="I37" s="73">
        <f>'[3]17)管理费用预算表'!I37+'[4]18)管理费用预算表'!I37+'[5]18)管理费用预算表'!I37</f>
        <v>33474</v>
      </c>
      <c r="J37" s="73">
        <f>'[3]17)管理费用预算表'!J37+'[4]18)管理费用预算表'!J37+'[5]18)管理费用预算表'!J37</f>
        <v>300</v>
      </c>
      <c r="K37" s="73">
        <f>'[3]17)管理费用预算表'!K37+'[4]18)管理费用预算表'!K37+'[5]18)管理费用预算表'!K37</f>
        <v>300</v>
      </c>
      <c r="L37" s="82" t="e">
        <f t="shared" si="6"/>
        <v>#DIV/0!</v>
      </c>
      <c r="M37" s="59"/>
    </row>
    <row r="38" spans="1:13" ht="18" customHeight="1">
      <c r="A38" s="75" t="s">
        <v>824</v>
      </c>
      <c r="B38" s="73">
        <f>'[3]17)管理费用预算表'!B38+'[4]18)管理费用预算表'!B38+'[5]18)管理费用预算表'!B38</f>
        <v>0</v>
      </c>
      <c r="C38" s="73">
        <f>'[3]17)管理费用预算表'!C38+'[4]18)管理费用预算表'!C38+'[5]18)管理费用预算表'!C38</f>
        <v>0</v>
      </c>
      <c r="D38" s="73">
        <f>'[3]17)管理费用预算表'!D38+'[4]18)管理费用预算表'!D38+'[5]18)管理费用预算表'!D38</f>
        <v>0</v>
      </c>
      <c r="E38" s="73">
        <f t="shared" si="10"/>
        <v>0</v>
      </c>
      <c r="F38" s="74" t="e">
        <f aca="true" t="shared" si="11" ref="F38:F75">E38/B38</f>
        <v>#DIV/0!</v>
      </c>
      <c r="G38" s="73">
        <f t="shared" si="9"/>
        <v>0</v>
      </c>
      <c r="H38" s="73">
        <f>'[3]17)管理费用预算表'!H38+'[4]18)管理费用预算表'!H38+'[5]18)管理费用预算表'!H38</f>
        <v>0</v>
      </c>
      <c r="I38" s="73">
        <f>'[3]17)管理费用预算表'!I38+'[4]18)管理费用预算表'!I38+'[5]18)管理费用预算表'!I38</f>
        <v>0</v>
      </c>
      <c r="J38" s="73">
        <f>'[3]17)管理费用预算表'!J38+'[4]18)管理费用预算表'!J38+'[5]18)管理费用预算表'!J38</f>
        <v>0</v>
      </c>
      <c r="K38" s="73">
        <f>'[3]17)管理费用预算表'!K38+'[4]18)管理费用预算表'!K38+'[5]18)管理费用预算表'!K38</f>
        <v>0</v>
      </c>
      <c r="L38" s="82" t="e">
        <f aca="true" t="shared" si="12" ref="L38:L75">G38/E38</f>
        <v>#DIV/0!</v>
      </c>
      <c r="M38" s="59"/>
    </row>
    <row r="39" spans="1:13" ht="18" customHeight="1">
      <c r="A39" s="75" t="s">
        <v>825</v>
      </c>
      <c r="B39" s="73">
        <f>'[3]17)管理费用预算表'!B39+'[4]18)管理费用预算表'!B39+'[5]18)管理费用预算表'!B39</f>
        <v>86900</v>
      </c>
      <c r="C39" s="73">
        <f>'[3]17)管理费用预算表'!C39+'[4]18)管理费用预算表'!C39+'[5]18)管理费用预算表'!C39</f>
        <v>16256.09</v>
      </c>
      <c r="D39" s="73">
        <f>'[3]17)管理费用预算表'!D39+'[4]18)管理费用预算表'!D39+'[5]18)管理费用预算表'!D39</f>
        <v>18000</v>
      </c>
      <c r="E39" s="73">
        <f t="shared" si="10"/>
        <v>34256.09</v>
      </c>
      <c r="F39" s="74">
        <f t="shared" si="11"/>
        <v>0.39420126582278475</v>
      </c>
      <c r="G39" s="73">
        <f t="shared" si="9"/>
        <v>100900</v>
      </c>
      <c r="H39" s="73">
        <f>'[3]17)管理费用预算表'!H39+'[4]18)管理费用预算表'!H39+'[5]18)管理费用预算表'!H39</f>
        <v>5375</v>
      </c>
      <c r="I39" s="73">
        <f>'[3]17)管理费用预算表'!I39+'[4]18)管理费用预算表'!I39+'[5]18)管理费用预算表'!I39</f>
        <v>18375</v>
      </c>
      <c r="J39" s="73">
        <f>'[3]17)管理费用预算表'!J39+'[4]18)管理费用预算表'!J39+'[5]18)管理费用预算表'!J39</f>
        <v>20375</v>
      </c>
      <c r="K39" s="73">
        <f>'[3]17)管理费用预算表'!K39+'[4]18)管理费用预算表'!K39+'[5]18)管理费用预算表'!K39</f>
        <v>56775</v>
      </c>
      <c r="L39" s="82">
        <f t="shared" si="12"/>
        <v>2.9454616682756267</v>
      </c>
      <c r="M39" s="59"/>
    </row>
    <row r="40" spans="1:13" ht="18" customHeight="1">
      <c r="A40" s="75" t="s">
        <v>826</v>
      </c>
      <c r="B40" s="73">
        <f>'[3]17)管理费用预算表'!B40+'[4]18)管理费用预算表'!B40+'[5]18)管理费用预算表'!B40</f>
        <v>25440</v>
      </c>
      <c r="C40" s="73">
        <f>'[3]17)管理费用预算表'!C40+'[4]18)管理费用预算表'!C40+'[5]18)管理费用预算表'!C40</f>
        <v>800</v>
      </c>
      <c r="D40" s="73">
        <f>'[3]17)管理费用预算表'!D40+'[4]18)管理费用预算表'!D40+'[5]18)管理费用预算表'!D40</f>
        <v>0</v>
      </c>
      <c r="E40" s="73">
        <f t="shared" si="10"/>
        <v>800</v>
      </c>
      <c r="F40" s="74">
        <f t="shared" si="11"/>
        <v>0.031446540880503145</v>
      </c>
      <c r="G40" s="73">
        <f t="shared" si="9"/>
        <v>2400</v>
      </c>
      <c r="H40" s="73">
        <f>'[3]17)管理费用预算表'!H40+'[4]18)管理费用预算表'!H40+'[5]18)管理费用预算表'!H40</f>
        <v>600</v>
      </c>
      <c r="I40" s="73">
        <f>'[3]17)管理费用预算表'!I40+'[4]18)管理费用预算表'!I40+'[5]18)管理费用预算表'!I40</f>
        <v>600</v>
      </c>
      <c r="J40" s="73">
        <f>'[3]17)管理费用预算表'!J40+'[4]18)管理费用预算表'!J40+'[5]18)管理费用预算表'!J40</f>
        <v>600</v>
      </c>
      <c r="K40" s="73">
        <f>'[3]17)管理费用预算表'!K40+'[4]18)管理费用预算表'!K40+'[5]18)管理费用预算表'!K40</f>
        <v>600</v>
      </c>
      <c r="L40" s="82">
        <f t="shared" si="12"/>
        <v>3</v>
      </c>
      <c r="M40" s="59"/>
    </row>
    <row r="41" spans="1:13" ht="18" customHeight="1">
      <c r="A41" s="75" t="s">
        <v>827</v>
      </c>
      <c r="B41" s="73">
        <f>'[3]17)管理费用预算表'!B41+'[4]18)管理费用预算表'!B41+'[5]18)管理费用预算表'!B41</f>
        <v>70440</v>
      </c>
      <c r="C41" s="73">
        <f>'[3]17)管理费用预算表'!C41+'[4]18)管理费用预算表'!C41+'[5]18)管理费用预算表'!C41</f>
        <v>13425.8</v>
      </c>
      <c r="D41" s="73">
        <f>'[3]17)管理费用预算表'!D41+'[4]18)管理费用预算表'!D41+'[5]18)管理费用预算表'!D41</f>
        <v>48180</v>
      </c>
      <c r="E41" s="73">
        <f t="shared" si="10"/>
        <v>61605.8</v>
      </c>
      <c r="F41" s="74">
        <f t="shared" si="11"/>
        <v>0.8745854628052243</v>
      </c>
      <c r="G41" s="73">
        <f aca="true" t="shared" si="13" ref="G41:G78">SUM(H41:K41)</f>
        <v>83274</v>
      </c>
      <c r="H41" s="73">
        <f>'[3]17)管理费用预算表'!H41+'[4]18)管理费用预算表'!H41+'[5]18)管理费用预算表'!H41</f>
        <v>10800</v>
      </c>
      <c r="I41" s="73">
        <f>'[3]17)管理费用预算表'!I41+'[4]18)管理费用预算表'!I41+'[5]18)管理费用预算表'!I41</f>
        <v>10400</v>
      </c>
      <c r="J41" s="73">
        <f>'[3]17)管理费用预算表'!J41+'[4]18)管理费用预算表'!J41+'[5]18)管理费用预算表'!J41</f>
        <v>8900</v>
      </c>
      <c r="K41" s="73">
        <f>'[3]17)管理费用预算表'!K41+'[4]18)管理费用预算表'!K41+'[5]18)管理费用预算表'!K41</f>
        <v>53174</v>
      </c>
      <c r="L41" s="82">
        <f t="shared" si="12"/>
        <v>1.3517233766950514</v>
      </c>
      <c r="M41" s="59"/>
    </row>
    <row r="42" spans="1:13" ht="18" customHeight="1">
      <c r="A42" s="75" t="s">
        <v>828</v>
      </c>
      <c r="B42" s="73">
        <f>'[3]17)管理费用预算表'!B42+'[4]18)管理费用预算表'!B42+'[5]18)管理费用预算表'!B42</f>
        <v>0</v>
      </c>
      <c r="C42" s="73">
        <f>'[3]17)管理费用预算表'!C42+'[4]18)管理费用预算表'!C42+'[5]18)管理费用预算表'!C42</f>
        <v>0</v>
      </c>
      <c r="D42" s="73">
        <f>'[3]17)管理费用预算表'!D42+'[4]18)管理费用预算表'!D42+'[5]18)管理费用预算表'!D42</f>
        <v>0</v>
      </c>
      <c r="E42" s="73">
        <f t="shared" si="10"/>
        <v>0</v>
      </c>
      <c r="F42" s="74" t="e">
        <f t="shared" si="11"/>
        <v>#DIV/0!</v>
      </c>
      <c r="G42" s="73">
        <f t="shared" si="13"/>
        <v>5000</v>
      </c>
      <c r="H42" s="73">
        <f>'[3]17)管理费用预算表'!H42+'[4]18)管理费用预算表'!H42+'[5]18)管理费用预算表'!H42</f>
        <v>2500</v>
      </c>
      <c r="I42" s="73">
        <f>'[3]17)管理费用预算表'!I42+'[4]18)管理费用预算表'!I42+'[5]18)管理费用预算表'!I42</f>
        <v>0</v>
      </c>
      <c r="J42" s="73">
        <f>'[3]17)管理费用预算表'!J42+'[4]18)管理费用预算表'!J42+'[5]18)管理费用预算表'!J42</f>
        <v>2500</v>
      </c>
      <c r="K42" s="73">
        <f>'[3]17)管理费用预算表'!K42+'[4]18)管理费用预算表'!K42+'[5]18)管理费用预算表'!K42</f>
        <v>0</v>
      </c>
      <c r="L42" s="82" t="e">
        <f t="shared" si="12"/>
        <v>#DIV/0!</v>
      </c>
      <c r="M42" s="59"/>
    </row>
    <row r="43" spans="1:13" ht="18" customHeight="1">
      <c r="A43" s="75" t="s">
        <v>829</v>
      </c>
      <c r="B43" s="73">
        <f>'[3]17)管理费用预算表'!B43+'[4]18)管理费用预算表'!B43+'[5]18)管理费用预算表'!B43</f>
        <v>49600</v>
      </c>
      <c r="C43" s="73">
        <f>'[3]17)管理费用预算表'!C43+'[4]18)管理费用预算表'!C43+'[5]18)管理费用预算表'!C43</f>
        <v>40095.490000000005</v>
      </c>
      <c r="D43" s="73">
        <f>'[3]17)管理费用预算表'!D43+'[4]18)管理费用预算表'!D43+'[5]18)管理费用预算表'!D43</f>
        <v>500</v>
      </c>
      <c r="E43" s="73">
        <f t="shared" si="10"/>
        <v>40595.490000000005</v>
      </c>
      <c r="F43" s="74">
        <f t="shared" si="11"/>
        <v>0.8184574596774195</v>
      </c>
      <c r="G43" s="73">
        <f t="shared" si="13"/>
        <v>48500</v>
      </c>
      <c r="H43" s="73">
        <f>'[3]17)管理费用预算表'!H43+'[4]18)管理费用预算表'!H43+'[5]18)管理费用预算表'!H43</f>
        <v>12100</v>
      </c>
      <c r="I43" s="73">
        <f>'[3]17)管理费用预算表'!I43+'[4]18)管理费用预算表'!I43+'[5]18)管理费用预算表'!I43</f>
        <v>12400</v>
      </c>
      <c r="J43" s="73">
        <f>'[3]17)管理费用预算表'!J43+'[4]18)管理费用预算表'!J43+'[5]18)管理费用预算表'!J43</f>
        <v>12100</v>
      </c>
      <c r="K43" s="73">
        <f>'[3]17)管理费用预算表'!K43+'[4]18)管理费用预算表'!K43+'[5]18)管理费用预算表'!K43</f>
        <v>11900</v>
      </c>
      <c r="L43" s="82">
        <f t="shared" si="12"/>
        <v>1.1947139940914617</v>
      </c>
      <c r="M43" s="59"/>
    </row>
    <row r="44" spans="1:13" ht="18" customHeight="1">
      <c r="A44" s="75" t="s">
        <v>830</v>
      </c>
      <c r="B44" s="73">
        <f>'[3]17)管理费用预算表'!B44+'[4]18)管理费用预算表'!B44+'[5]18)管理费用预算表'!B44</f>
        <v>6500</v>
      </c>
      <c r="C44" s="73">
        <f>'[3]17)管理费用预算表'!C44+'[4]18)管理费用预算表'!C44+'[5]18)管理费用预算表'!C44</f>
        <v>0</v>
      </c>
      <c r="D44" s="73">
        <f>'[3]17)管理费用预算表'!D44+'[4]18)管理费用预算表'!D44+'[5]18)管理费用预算表'!D44</f>
        <v>0</v>
      </c>
      <c r="E44" s="73">
        <f t="shared" si="10"/>
        <v>0</v>
      </c>
      <c r="F44" s="74">
        <f t="shared" si="11"/>
        <v>0</v>
      </c>
      <c r="G44" s="73">
        <f t="shared" si="13"/>
        <v>97700</v>
      </c>
      <c r="H44" s="73">
        <f>'[3]17)管理费用预算表'!H44+'[4]18)管理费用预算表'!H44+'[5]18)管理费用预算表'!H44</f>
        <v>3550</v>
      </c>
      <c r="I44" s="73">
        <f>'[3]17)管理费用预算表'!I44+'[4]18)管理费用预算表'!I44+'[5]18)管理费用预算表'!I44</f>
        <v>56250</v>
      </c>
      <c r="J44" s="73">
        <f>'[3]17)管理费用预算表'!J44+'[4]18)管理费用预算表'!J44+'[5]18)管理费用预算表'!J44</f>
        <v>34350</v>
      </c>
      <c r="K44" s="73">
        <f>'[3]17)管理费用预算表'!K44+'[4]18)管理费用预算表'!K44+'[5]18)管理费用预算表'!K44</f>
        <v>3550</v>
      </c>
      <c r="L44" s="82" t="e">
        <f t="shared" si="12"/>
        <v>#DIV/0!</v>
      </c>
      <c r="M44" s="59"/>
    </row>
    <row r="45" spans="1:13" ht="18" customHeight="1">
      <c r="A45" s="75" t="s">
        <v>831</v>
      </c>
      <c r="B45" s="73">
        <f>'[3]17)管理费用预算表'!B45+'[4]18)管理费用预算表'!B45+'[5]18)管理费用预算表'!B45</f>
        <v>2000</v>
      </c>
      <c r="C45" s="73">
        <f>'[3]17)管理费用预算表'!C45+'[4]18)管理费用预算表'!C45+'[5]18)管理费用预算表'!C45</f>
        <v>0</v>
      </c>
      <c r="D45" s="73">
        <f>'[3]17)管理费用预算表'!D45+'[4]18)管理费用预算表'!D45+'[5]18)管理费用预算表'!D45</f>
        <v>0</v>
      </c>
      <c r="E45" s="73">
        <f t="shared" si="10"/>
        <v>0</v>
      </c>
      <c r="F45" s="74">
        <f t="shared" si="11"/>
        <v>0</v>
      </c>
      <c r="G45" s="73">
        <f t="shared" si="13"/>
        <v>7900</v>
      </c>
      <c r="H45" s="73">
        <f>'[3]17)管理费用预算表'!H45+'[4]18)管理费用预算表'!H45+'[5]18)管理费用预算表'!H45</f>
        <v>4000</v>
      </c>
      <c r="I45" s="73">
        <f>'[3]17)管理费用预算表'!I45+'[4]18)管理费用预算表'!I45+'[5]18)管理费用预算表'!I45</f>
        <v>1300</v>
      </c>
      <c r="J45" s="73">
        <f>'[3]17)管理费用预算表'!J45+'[4]18)管理费用预算表'!J45+'[5]18)管理费用预算表'!J45</f>
        <v>1300</v>
      </c>
      <c r="K45" s="73">
        <f>'[3]17)管理费用预算表'!K45+'[4]18)管理费用预算表'!K45+'[5]18)管理费用预算表'!K45</f>
        <v>1300</v>
      </c>
      <c r="L45" s="82" t="e">
        <f t="shared" si="12"/>
        <v>#DIV/0!</v>
      </c>
      <c r="M45" s="59"/>
    </row>
    <row r="46" spans="1:13" ht="18" customHeight="1">
      <c r="A46" s="75" t="s">
        <v>832</v>
      </c>
      <c r="B46" s="73">
        <f>'[3]17)管理费用预算表'!B46+'[4]18)管理费用预算表'!B46+'[5]18)管理费用预算表'!B46</f>
        <v>20000</v>
      </c>
      <c r="C46" s="73">
        <f>'[3]17)管理费用预算表'!C46+'[4]18)管理费用预算表'!C46+'[5]18)管理费用预算表'!C46</f>
        <v>0</v>
      </c>
      <c r="D46" s="73">
        <f>'[3]17)管理费用预算表'!D46+'[4]18)管理费用预算表'!D46+'[5]18)管理费用预算表'!D46</f>
        <v>0</v>
      </c>
      <c r="E46" s="73">
        <f t="shared" si="10"/>
        <v>0</v>
      </c>
      <c r="F46" s="74">
        <f t="shared" si="11"/>
        <v>0</v>
      </c>
      <c r="G46" s="73">
        <f t="shared" si="13"/>
        <v>10000</v>
      </c>
      <c r="H46" s="73">
        <f>'[3]17)管理费用预算表'!H46+'[4]18)管理费用预算表'!H46+'[5]18)管理费用预算表'!H46</f>
        <v>0</v>
      </c>
      <c r="I46" s="73">
        <f>'[3]17)管理费用预算表'!I46+'[4]18)管理费用预算表'!I46+'[5]18)管理费用预算表'!I46</f>
        <v>10000</v>
      </c>
      <c r="J46" s="73">
        <f>'[3]17)管理费用预算表'!J46+'[4]18)管理费用预算表'!J46+'[5]18)管理费用预算表'!J46</f>
        <v>0</v>
      </c>
      <c r="K46" s="73">
        <f>'[3]17)管理费用预算表'!K46+'[4]18)管理费用预算表'!K46+'[5]18)管理费用预算表'!K46</f>
        <v>0</v>
      </c>
      <c r="L46" s="82" t="e">
        <f t="shared" si="12"/>
        <v>#DIV/0!</v>
      </c>
      <c r="M46" s="59"/>
    </row>
    <row r="47" spans="1:13" ht="18" customHeight="1">
      <c r="A47" s="75" t="s">
        <v>833</v>
      </c>
      <c r="B47" s="76">
        <f>SUM(B48:B52)</f>
        <v>441000</v>
      </c>
      <c r="C47" s="73">
        <f>SUM(C48:C52)</f>
        <v>253668.11</v>
      </c>
      <c r="D47" s="76">
        <f>SUM(D48:D52)</f>
        <v>0</v>
      </c>
      <c r="E47" s="76">
        <f>SUM(E48:E52)</f>
        <v>253668.11</v>
      </c>
      <c r="F47" s="74">
        <f t="shared" si="11"/>
        <v>0.5752111337868481</v>
      </c>
      <c r="G47" s="76">
        <f>SUM(G48:G52)</f>
        <v>361000</v>
      </c>
      <c r="H47" s="76">
        <f>SUM(H48:H52)</f>
        <v>80500</v>
      </c>
      <c r="I47" s="76">
        <f>SUM(I48:I52)</f>
        <v>252500</v>
      </c>
      <c r="J47" s="76">
        <f>SUM(J48:J52)</f>
        <v>15500</v>
      </c>
      <c r="K47" s="76">
        <f>SUM(K48:K52)</f>
        <v>12500</v>
      </c>
      <c r="L47" s="82">
        <f t="shared" si="12"/>
        <v>1.4231193664824484</v>
      </c>
      <c r="M47" s="80"/>
    </row>
    <row r="48" spans="1:13" ht="18" customHeight="1">
      <c r="A48" s="75" t="s">
        <v>834</v>
      </c>
      <c r="B48" s="73">
        <f>'[3]17)管理费用预算表'!B48+'[4]18)管理费用预算表'!B48+'[5]18)管理费用预算表'!B48</f>
        <v>0</v>
      </c>
      <c r="C48" s="73">
        <f>'[3]17)管理费用预算表'!C48+'[4]18)管理费用预算表'!C48+'[5]18)管理费用预算表'!C48</f>
        <v>0</v>
      </c>
      <c r="D48" s="73">
        <f>'[3]17)管理费用预算表'!D48+'[4]18)管理费用预算表'!D48+'[5]18)管理费用预算表'!D48</f>
        <v>0</v>
      </c>
      <c r="E48" s="73">
        <f aca="true" t="shared" si="14" ref="E48:E53">C48+D48</f>
        <v>0</v>
      </c>
      <c r="F48" s="74" t="e">
        <f t="shared" si="11"/>
        <v>#DIV/0!</v>
      </c>
      <c r="G48" s="73">
        <f t="shared" si="13"/>
        <v>0</v>
      </c>
      <c r="H48" s="73">
        <f>'[3]17)管理费用预算表'!H48+'[4]18)管理费用预算表'!H48+'[5]18)管理费用预算表'!H48</f>
        <v>0</v>
      </c>
      <c r="I48" s="73">
        <f>'[3]17)管理费用预算表'!I48+'[4]18)管理费用预算表'!I48+'[5]18)管理费用预算表'!I48</f>
        <v>0</v>
      </c>
      <c r="J48" s="73">
        <f>'[3]17)管理费用预算表'!J48+'[4]18)管理费用预算表'!J48+'[5]18)管理费用预算表'!J48</f>
        <v>0</v>
      </c>
      <c r="K48" s="73">
        <f>'[3]17)管理费用预算表'!K48+'[4]18)管理费用预算表'!K48+'[5]18)管理费用预算表'!K48</f>
        <v>0</v>
      </c>
      <c r="L48" s="82" t="e">
        <f t="shared" si="12"/>
        <v>#DIV/0!</v>
      </c>
      <c r="M48" s="80"/>
    </row>
    <row r="49" spans="1:13" ht="18" customHeight="1">
      <c r="A49" s="77" t="s">
        <v>835</v>
      </c>
      <c r="B49" s="73">
        <f>'[3]17)管理费用预算表'!B49+'[4]18)管理费用预算表'!B49+'[5]18)管理费用预算表'!B49</f>
        <v>255000</v>
      </c>
      <c r="C49" s="73">
        <f>'[3]17)管理费用预算表'!C49+'[4]18)管理费用预算表'!C49+'[5]18)管理费用预算表'!C49</f>
        <v>186310.37</v>
      </c>
      <c r="D49" s="73">
        <f>'[3]17)管理费用预算表'!D49+'[4]18)管理费用预算表'!D49+'[5]18)管理费用预算表'!D49</f>
        <v>0</v>
      </c>
      <c r="E49" s="73">
        <f t="shared" si="14"/>
        <v>186310.37</v>
      </c>
      <c r="F49" s="74">
        <f t="shared" si="11"/>
        <v>0.7306289019607843</v>
      </c>
      <c r="G49" s="73">
        <f t="shared" si="13"/>
        <v>240000</v>
      </c>
      <c r="H49" s="73">
        <f>'[3]17)管理费用预算表'!H49+'[4]18)管理费用预算表'!H49+'[5]18)管理费用预算表'!H49</f>
        <v>0</v>
      </c>
      <c r="I49" s="73">
        <f>'[3]17)管理费用预算表'!I49+'[4]18)管理费用预算表'!I49+'[5]18)管理费用预算表'!I49</f>
        <v>240000</v>
      </c>
      <c r="J49" s="73">
        <f>'[3]17)管理费用预算表'!J49+'[4]18)管理费用预算表'!J49+'[5]18)管理费用预算表'!J49</f>
        <v>0</v>
      </c>
      <c r="K49" s="73">
        <f>'[3]17)管理费用预算表'!K49+'[4]18)管理费用预算表'!K49+'[5]18)管理费用预算表'!K49</f>
        <v>0</v>
      </c>
      <c r="L49" s="82">
        <f t="shared" si="12"/>
        <v>1.288173063045283</v>
      </c>
      <c r="M49" s="80"/>
    </row>
    <row r="50" spans="1:13" ht="18" customHeight="1">
      <c r="A50" s="78" t="s">
        <v>836</v>
      </c>
      <c r="B50" s="73">
        <f>'[3]17)管理费用预算表'!B50+'[4]18)管理费用预算表'!B50+'[5]18)管理费用预算表'!B50</f>
        <v>0</v>
      </c>
      <c r="C50" s="73">
        <f>'[3]17)管理费用预算表'!C50+'[4]18)管理费用预算表'!C50+'[5]18)管理费用预算表'!C50</f>
        <v>0</v>
      </c>
      <c r="D50" s="73">
        <f>'[3]17)管理费用预算表'!D50+'[4]18)管理费用预算表'!D50+'[5]18)管理费用预算表'!D50</f>
        <v>0</v>
      </c>
      <c r="E50" s="73">
        <f t="shared" si="14"/>
        <v>0</v>
      </c>
      <c r="F50" s="74" t="e">
        <f t="shared" si="11"/>
        <v>#DIV/0!</v>
      </c>
      <c r="G50" s="73">
        <f t="shared" si="13"/>
        <v>0</v>
      </c>
      <c r="H50" s="73">
        <f>'[3]17)管理费用预算表'!H50+'[4]18)管理费用预算表'!H50+'[5]18)管理费用预算表'!H50</f>
        <v>0</v>
      </c>
      <c r="I50" s="73">
        <f>'[3]17)管理费用预算表'!I50+'[4]18)管理费用预算表'!I50+'[5]18)管理费用预算表'!I50</f>
        <v>0</v>
      </c>
      <c r="J50" s="73">
        <f>'[3]17)管理费用预算表'!J50+'[4]18)管理费用预算表'!J50+'[5]18)管理费用预算表'!J50</f>
        <v>0</v>
      </c>
      <c r="K50" s="73">
        <f>'[3]17)管理费用预算表'!K50+'[4]18)管理费用预算表'!K50+'[5]18)管理费用预算表'!K50</f>
        <v>0</v>
      </c>
      <c r="L50" s="82" t="e">
        <f t="shared" si="12"/>
        <v>#DIV/0!</v>
      </c>
      <c r="M50" s="80"/>
    </row>
    <row r="51" spans="1:13" ht="18" customHeight="1">
      <c r="A51" s="77" t="s">
        <v>837</v>
      </c>
      <c r="B51" s="73">
        <f>'[3]17)管理费用预算表'!B51+'[4]18)管理费用预算表'!B51+'[5]18)管理费用预算表'!B51</f>
        <v>136000</v>
      </c>
      <c r="C51" s="73">
        <f>'[3]17)管理费用预算表'!C51+'[4]18)管理费用预算表'!C51+'[5]18)管理费用预算表'!C51</f>
        <v>66037.74</v>
      </c>
      <c r="D51" s="73">
        <f>'[3]17)管理费用预算表'!D51+'[4]18)管理费用预算表'!D51+'[5]18)管理费用预算表'!D51</f>
        <v>0</v>
      </c>
      <c r="E51" s="73">
        <f t="shared" si="14"/>
        <v>66037.74</v>
      </c>
      <c r="F51" s="74">
        <f t="shared" si="11"/>
        <v>0.48557161764705886</v>
      </c>
      <c r="G51" s="73">
        <f t="shared" si="13"/>
        <v>91000</v>
      </c>
      <c r="H51" s="73">
        <f>'[3]17)管理费用预算表'!H51+'[4]18)管理费用预算表'!H51+'[5]18)管理费用预算表'!H51</f>
        <v>73000</v>
      </c>
      <c r="I51" s="73">
        <f>'[3]17)管理费用预算表'!I51+'[4]18)管理费用预算表'!I51+'[5]18)管理费用预算表'!I51</f>
        <v>5000</v>
      </c>
      <c r="J51" s="73">
        <f>'[3]17)管理费用预算表'!J51+'[4]18)管理费用预算表'!J51+'[5]18)管理费用预算表'!J51</f>
        <v>8000</v>
      </c>
      <c r="K51" s="73">
        <f>'[3]17)管理费用预算表'!K51+'[4]18)管理费用预算表'!K51+'[5]18)管理费用预算表'!K51</f>
        <v>5000</v>
      </c>
      <c r="L51" s="82">
        <f t="shared" si="12"/>
        <v>1.3779999133828624</v>
      </c>
      <c r="M51" s="80"/>
    </row>
    <row r="52" spans="1:13" ht="18" customHeight="1">
      <c r="A52" s="78" t="s">
        <v>838</v>
      </c>
      <c r="B52" s="73">
        <f>'[3]17)管理费用预算表'!B52+'[4]18)管理费用预算表'!B52+'[5]18)管理费用预算表'!B52</f>
        <v>50000</v>
      </c>
      <c r="C52" s="73">
        <f>'[3]17)管理费用预算表'!C52+'[4]18)管理费用预算表'!C52+'[5]18)管理费用预算表'!C52</f>
        <v>1320</v>
      </c>
      <c r="D52" s="73">
        <f>'[3]17)管理费用预算表'!D52+'[4]18)管理费用预算表'!D52+'[5]18)管理费用预算表'!D52</f>
        <v>0</v>
      </c>
      <c r="E52" s="73">
        <f t="shared" si="14"/>
        <v>1320</v>
      </c>
      <c r="F52" s="74">
        <f t="shared" si="11"/>
        <v>0.0264</v>
      </c>
      <c r="G52" s="73">
        <f t="shared" si="13"/>
        <v>30000</v>
      </c>
      <c r="H52" s="73">
        <f>'[3]17)管理费用预算表'!H52+'[4]18)管理费用预算表'!H52+'[5]18)管理费用预算表'!H52</f>
        <v>7500</v>
      </c>
      <c r="I52" s="73">
        <f>'[3]17)管理费用预算表'!I52+'[4]18)管理费用预算表'!I52+'[5]18)管理费用预算表'!I52</f>
        <v>7500</v>
      </c>
      <c r="J52" s="73">
        <f>'[3]17)管理费用预算表'!J52+'[4]18)管理费用预算表'!J52+'[5]18)管理费用预算表'!J52</f>
        <v>7500</v>
      </c>
      <c r="K52" s="73">
        <f>'[3]17)管理费用预算表'!K52+'[4]18)管理费用预算表'!K52+'[5]18)管理费用预算表'!K52</f>
        <v>7500</v>
      </c>
      <c r="L52" s="82">
        <f t="shared" si="12"/>
        <v>22.727272727272727</v>
      </c>
      <c r="M52" s="80"/>
    </row>
    <row r="53" spans="1:13" ht="18" customHeight="1">
      <c r="A53" s="78" t="s">
        <v>839</v>
      </c>
      <c r="B53" s="73">
        <f>'[3]17)管理费用预算表'!B53+'[4]18)管理费用预算表'!B53+'[5]18)管理费用预算表'!B53</f>
        <v>5000</v>
      </c>
      <c r="C53" s="73">
        <f>'[3]17)管理费用预算表'!C53+'[4]18)管理费用预算表'!C53+'[5]18)管理费用预算表'!C53</f>
        <v>470</v>
      </c>
      <c r="D53" s="73">
        <f>'[3]17)管理费用预算表'!D53+'[4]18)管理费用预算表'!D53+'[5]18)管理费用预算表'!D53</f>
        <v>0</v>
      </c>
      <c r="E53" s="73">
        <f t="shared" si="14"/>
        <v>470</v>
      </c>
      <c r="F53" s="74">
        <f t="shared" si="11"/>
        <v>0.094</v>
      </c>
      <c r="G53" s="73">
        <f t="shared" si="13"/>
        <v>5000</v>
      </c>
      <c r="H53" s="73">
        <f>'[3]17)管理费用预算表'!H53+'[4]18)管理费用预算表'!H53+'[5]18)管理费用预算表'!H53</f>
        <v>0</v>
      </c>
      <c r="I53" s="73">
        <f>'[3]17)管理费用预算表'!I53+'[4]18)管理费用预算表'!I53+'[5]18)管理费用预算表'!I53</f>
        <v>0</v>
      </c>
      <c r="J53" s="73">
        <f>'[3]17)管理费用预算表'!J53+'[4]18)管理费用预算表'!J53+'[5]18)管理费用预算表'!J53</f>
        <v>5000</v>
      </c>
      <c r="K53" s="73">
        <f>'[3]17)管理费用预算表'!K53+'[4]18)管理费用预算表'!K53+'[5]18)管理费用预算表'!K53</f>
        <v>0</v>
      </c>
      <c r="L53" s="82">
        <f t="shared" si="12"/>
        <v>10.638297872340425</v>
      </c>
      <c r="M53" s="80"/>
    </row>
    <row r="54" spans="1:13" ht="18" customHeight="1">
      <c r="A54" s="78" t="s">
        <v>840</v>
      </c>
      <c r="B54" s="76">
        <f>SUM(B55:B62)</f>
        <v>379192</v>
      </c>
      <c r="C54" s="73">
        <f>SUM(C55:C62)</f>
        <v>122680.23000000001</v>
      </c>
      <c r="D54" s="76">
        <f>SUM(D55:D62)</f>
        <v>175639.45</v>
      </c>
      <c r="E54" s="76">
        <f>SUM(E55:E62)</f>
        <v>298319.68</v>
      </c>
      <c r="F54" s="74">
        <f t="shared" si="11"/>
        <v>0.7867246144433426</v>
      </c>
      <c r="G54" s="76">
        <f>SUM(G55:G62)</f>
        <v>606088</v>
      </c>
      <c r="H54" s="76">
        <f>SUM(H55:H62)</f>
        <v>133150</v>
      </c>
      <c r="I54" s="76">
        <f>SUM(I55:I62)</f>
        <v>186148</v>
      </c>
      <c r="J54" s="76">
        <f>SUM(J55:J62)</f>
        <v>181800</v>
      </c>
      <c r="K54" s="76">
        <f>SUM(K55:K62)</f>
        <v>104990</v>
      </c>
      <c r="L54" s="82">
        <f t="shared" si="12"/>
        <v>2.0316728685147423</v>
      </c>
      <c r="M54" s="80"/>
    </row>
    <row r="55" spans="1:13" ht="18" customHeight="1">
      <c r="A55" s="78" t="s">
        <v>841</v>
      </c>
      <c r="B55" s="73">
        <f>'[3]17)管理费用预算表'!B55+'[4]18)管理费用预算表'!B55+'[5]18)管理费用预算表'!B55</f>
        <v>97700</v>
      </c>
      <c r="C55" s="73">
        <f>'[3]17)管理费用预算表'!C55+'[4]18)管理费用预算表'!C55+'[5]18)管理费用预算表'!C55</f>
        <v>10928</v>
      </c>
      <c r="D55" s="73">
        <f>'[3]17)管理费用预算表'!D55+'[4]18)管理费用预算表'!D55+'[5]18)管理费用预算表'!D55</f>
        <v>55600</v>
      </c>
      <c r="E55" s="73">
        <f>C55+D55</f>
        <v>66528</v>
      </c>
      <c r="F55" s="74">
        <f t="shared" si="11"/>
        <v>0.6809416581371546</v>
      </c>
      <c r="G55" s="73">
        <f t="shared" si="13"/>
        <v>98700</v>
      </c>
      <c r="H55" s="73">
        <f>'[3]17)管理费用预算表'!H55+'[4]18)管理费用预算表'!H55+'[5]18)管理费用预算表'!H55</f>
        <v>15900</v>
      </c>
      <c r="I55" s="73">
        <f>'[3]17)管理费用预算表'!I55+'[4]18)管理费用预算表'!I55+'[5]18)管理费用预算表'!I55</f>
        <v>15280</v>
      </c>
      <c r="J55" s="73">
        <f>'[3]17)管理费用预算表'!J55+'[4]18)管理费用预算表'!J55+'[5]18)管理费用预算表'!J55</f>
        <v>53680</v>
      </c>
      <c r="K55" s="73">
        <f>'[3]17)管理费用预算表'!K55+'[4]18)管理费用预算表'!K55+'[5]18)管理费用预算表'!K55</f>
        <v>13840</v>
      </c>
      <c r="L55" s="82">
        <f t="shared" si="12"/>
        <v>1.4835858585858586</v>
      </c>
      <c r="M55" s="80"/>
    </row>
    <row r="56" spans="1:13" ht="18" customHeight="1">
      <c r="A56" s="78" t="s">
        <v>842</v>
      </c>
      <c r="B56" s="73">
        <f>'[3]17)管理费用预算表'!B56+'[4]18)管理费用预算表'!B56+'[5]18)管理费用预算表'!B56</f>
        <v>138548</v>
      </c>
      <c r="C56" s="73">
        <f>'[3]17)管理费用预算表'!C56+'[4]18)管理费用预算表'!C56+'[5]18)管理费用预算表'!C56</f>
        <v>67238.05</v>
      </c>
      <c r="D56" s="73">
        <f>'[3]17)管理费用预算表'!D56+'[4]18)管理费用预算表'!D56+'[5]18)管理费用预算表'!D56</f>
        <v>99919.45</v>
      </c>
      <c r="E56" s="73">
        <f aca="true" t="shared" si="15" ref="E56:E71">C56+D56</f>
        <v>167157.5</v>
      </c>
      <c r="F56" s="74">
        <f t="shared" si="11"/>
        <v>1.206495221872564</v>
      </c>
      <c r="G56" s="73">
        <f t="shared" si="13"/>
        <v>353188</v>
      </c>
      <c r="H56" s="73">
        <f>'[3]17)管理费用预算表'!H56+'[4]18)管理费用预算表'!H56+'[5]18)管理费用预算表'!H56</f>
        <v>84100</v>
      </c>
      <c r="I56" s="73">
        <f>'[3]17)管理费用预算表'!I56+'[4]18)管理费用预算表'!I56+'[5]18)管理费用预算表'!I56</f>
        <v>112318</v>
      </c>
      <c r="J56" s="73">
        <f>'[3]17)管理费用预算表'!J56+'[4]18)管理费用预算表'!J56+'[5]18)管理费用预算表'!J56</f>
        <v>85170</v>
      </c>
      <c r="K56" s="73">
        <f>'[3]17)管理费用预算表'!K56+'[4]18)管理费用预算表'!K56+'[5]18)管理费用预算表'!K56</f>
        <v>71600</v>
      </c>
      <c r="L56" s="82">
        <f t="shared" si="12"/>
        <v>2.1129054933221663</v>
      </c>
      <c r="M56" s="80"/>
    </row>
    <row r="57" spans="1:13" ht="18" customHeight="1">
      <c r="A57" s="78" t="s">
        <v>843</v>
      </c>
      <c r="B57" s="73">
        <f>'[3]17)管理费用预算表'!B57+'[4]18)管理费用预算表'!B57+'[5]18)管理费用预算表'!B57</f>
        <v>53000</v>
      </c>
      <c r="C57" s="73">
        <f>'[3]17)管理费用预算表'!C57+'[4]18)管理费用预算表'!C57+'[5]18)管理费用预算表'!C57</f>
        <v>31559.579999999998</v>
      </c>
      <c r="D57" s="73">
        <f>'[3]17)管理费用预算表'!D57+'[4]18)管理费用预算表'!D57+'[5]18)管理费用预算表'!D57</f>
        <v>2250</v>
      </c>
      <c r="E57" s="73">
        <f t="shared" si="15"/>
        <v>33809.58</v>
      </c>
      <c r="F57" s="74">
        <f t="shared" si="11"/>
        <v>0.637916603773585</v>
      </c>
      <c r="G57" s="73">
        <f t="shared" si="13"/>
        <v>70000</v>
      </c>
      <c r="H57" s="73">
        <f>'[3]17)管理费用预算表'!H57+'[4]18)管理费用预算表'!H57+'[5]18)管理费用预算表'!H57</f>
        <v>7000</v>
      </c>
      <c r="I57" s="73">
        <f>'[3]17)管理费用预算表'!I57+'[4]18)管理费用预算表'!I57+'[5]18)管理费用预算表'!I57</f>
        <v>42000</v>
      </c>
      <c r="J57" s="73">
        <f>'[3]17)管理费用预算表'!J57+'[4]18)管理费用预算表'!J57+'[5]18)管理费用预算表'!J57</f>
        <v>13000</v>
      </c>
      <c r="K57" s="73">
        <f>'[3]17)管理费用预算表'!K57+'[4]18)管理费用预算表'!K57+'[5]18)管理费用预算表'!K57</f>
        <v>8000</v>
      </c>
      <c r="L57" s="82">
        <f t="shared" si="12"/>
        <v>2.0704190942330545</v>
      </c>
      <c r="M57" s="80"/>
    </row>
    <row r="58" spans="1:13" ht="18" customHeight="1">
      <c r="A58" s="78" t="s">
        <v>844</v>
      </c>
      <c r="B58" s="73">
        <f>'[3]17)管理费用预算表'!B58+'[4]18)管理费用预算表'!B58+'[5]18)管理费用预算表'!B58</f>
        <v>0</v>
      </c>
      <c r="C58" s="73">
        <f>'[3]17)管理费用预算表'!C58+'[4]18)管理费用预算表'!C58+'[5]18)管理费用预算表'!C58</f>
        <v>0</v>
      </c>
      <c r="D58" s="73">
        <f>'[3]17)管理费用预算表'!D58+'[4]18)管理费用预算表'!D58+'[5]18)管理费用预算表'!D58</f>
        <v>0</v>
      </c>
      <c r="E58" s="73">
        <f t="shared" si="15"/>
        <v>0</v>
      </c>
      <c r="F58" s="74" t="e">
        <f t="shared" si="11"/>
        <v>#DIV/0!</v>
      </c>
      <c r="G58" s="73">
        <f t="shared" si="13"/>
        <v>0</v>
      </c>
      <c r="H58" s="73">
        <f>'[3]17)管理费用预算表'!H58+'[4]18)管理费用预算表'!H58+'[5]18)管理费用预算表'!H58</f>
        <v>0</v>
      </c>
      <c r="I58" s="73">
        <f>'[3]17)管理费用预算表'!I58+'[4]18)管理费用预算表'!I58+'[5]18)管理费用预算表'!I58</f>
        <v>0</v>
      </c>
      <c r="J58" s="73">
        <f>'[3]17)管理费用预算表'!J58+'[4]18)管理费用预算表'!J58+'[5]18)管理费用预算表'!J58</f>
        <v>0</v>
      </c>
      <c r="K58" s="73">
        <f>'[3]17)管理费用预算表'!K58+'[4]18)管理费用预算表'!K58+'[5]18)管理费用预算表'!K58</f>
        <v>0</v>
      </c>
      <c r="L58" s="82" t="e">
        <f t="shared" si="12"/>
        <v>#DIV/0!</v>
      </c>
      <c r="M58" s="80"/>
    </row>
    <row r="59" spans="1:13" ht="18" customHeight="1">
      <c r="A59" s="78" t="s">
        <v>845</v>
      </c>
      <c r="B59" s="73">
        <f>'[3]17)管理费用预算表'!B59+'[4]18)管理费用预算表'!B59+'[5]18)管理费用预算表'!B59</f>
        <v>0</v>
      </c>
      <c r="C59" s="73">
        <f>'[3]17)管理费用预算表'!C59+'[4]18)管理费用预算表'!C59+'[5]18)管理费用预算表'!C59</f>
        <v>0</v>
      </c>
      <c r="D59" s="73">
        <f>'[3]17)管理费用预算表'!D59+'[4]18)管理费用预算表'!D59+'[5]18)管理费用预算表'!D59</f>
        <v>0</v>
      </c>
      <c r="E59" s="73">
        <f t="shared" si="15"/>
        <v>0</v>
      </c>
      <c r="F59" s="74" t="e">
        <f t="shared" si="11"/>
        <v>#DIV/0!</v>
      </c>
      <c r="G59" s="73">
        <f t="shared" si="13"/>
        <v>0</v>
      </c>
      <c r="H59" s="73">
        <f>'[3]17)管理费用预算表'!H59+'[4]18)管理费用预算表'!H59+'[5]18)管理费用预算表'!H59</f>
        <v>0</v>
      </c>
      <c r="I59" s="73">
        <f>'[3]17)管理费用预算表'!I59+'[4]18)管理费用预算表'!I59+'[5]18)管理费用预算表'!I59</f>
        <v>0</v>
      </c>
      <c r="J59" s="73">
        <f>'[3]17)管理费用预算表'!J59+'[4]18)管理费用预算表'!J59+'[5]18)管理费用预算表'!J59</f>
        <v>0</v>
      </c>
      <c r="K59" s="73">
        <f>'[3]17)管理费用预算表'!K59+'[4]18)管理费用预算表'!K59+'[5]18)管理费用预算表'!K59</f>
        <v>0</v>
      </c>
      <c r="L59" s="82" t="e">
        <f t="shared" si="12"/>
        <v>#DIV/0!</v>
      </c>
      <c r="M59" s="80"/>
    </row>
    <row r="60" spans="1:13" ht="18" customHeight="1">
      <c r="A60" s="78" t="s">
        <v>846</v>
      </c>
      <c r="B60" s="73">
        <f>'[3]17)管理费用预算表'!B60+'[4]18)管理费用预算表'!B60+'[5]18)管理费用预算表'!B60</f>
        <v>12000</v>
      </c>
      <c r="C60" s="73">
        <f>'[3]17)管理费用预算表'!C60+'[4]18)管理费用预算表'!C60+'[5]18)管理费用预算表'!C60</f>
        <v>0</v>
      </c>
      <c r="D60" s="73">
        <f>'[3]17)管理费用预算表'!D60+'[4]18)管理费用预算表'!D60+'[5]18)管理费用预算表'!D60</f>
        <v>0</v>
      </c>
      <c r="E60" s="73">
        <f t="shared" si="15"/>
        <v>0</v>
      </c>
      <c r="F60" s="74">
        <f t="shared" si="11"/>
        <v>0</v>
      </c>
      <c r="G60" s="73">
        <f t="shared" si="13"/>
        <v>17600</v>
      </c>
      <c r="H60" s="73">
        <f>'[3]17)管理费用预算表'!H60+'[4]18)管理费用预算表'!H60+'[5]18)管理费用预算表'!H60</f>
        <v>15350</v>
      </c>
      <c r="I60" s="73">
        <f>'[3]17)管理费用预算表'!I60+'[4]18)管理费用预算表'!I60+'[5]18)管理费用预算表'!I60</f>
        <v>750</v>
      </c>
      <c r="J60" s="73">
        <f>'[3]17)管理费用预算表'!J60+'[4]18)管理费用预算表'!J60+'[5]18)管理费用预算表'!J60</f>
        <v>750</v>
      </c>
      <c r="K60" s="73">
        <f>'[3]17)管理费用预算表'!K60+'[4]18)管理费用预算表'!K60+'[5]18)管理费用预算表'!K60</f>
        <v>750</v>
      </c>
      <c r="L60" s="82" t="e">
        <f t="shared" si="12"/>
        <v>#DIV/0!</v>
      </c>
      <c r="M60" s="80"/>
    </row>
    <row r="61" spans="1:13" ht="18" customHeight="1">
      <c r="A61" s="78" t="s">
        <v>847</v>
      </c>
      <c r="B61" s="73">
        <f>'[3]17)管理费用预算表'!B61+'[4]18)管理费用预算表'!B61+'[5]18)管理费用预算表'!B61</f>
        <v>59494</v>
      </c>
      <c r="C61" s="73">
        <f>'[3]17)管理费用预算表'!C61+'[4]18)管理费用预算表'!C61+'[5]18)管理费用预算表'!C61</f>
        <v>12954.6</v>
      </c>
      <c r="D61" s="73">
        <f>'[3]17)管理费用预算表'!D61+'[4]18)管理费用预算表'!D61+'[5]18)管理费用预算表'!D61</f>
        <v>17870</v>
      </c>
      <c r="E61" s="73">
        <f t="shared" si="15"/>
        <v>30824.6</v>
      </c>
      <c r="F61" s="74">
        <f t="shared" si="11"/>
        <v>0.5181127508656335</v>
      </c>
      <c r="G61" s="73">
        <f t="shared" si="13"/>
        <v>63400</v>
      </c>
      <c r="H61" s="73">
        <f>'[3]17)管理费用预算表'!H61+'[4]18)管理费用预算表'!H61+'[5]18)管理费用预算表'!H61</f>
        <v>10000</v>
      </c>
      <c r="I61" s="73">
        <f>'[3]17)管理费用预算表'!I61+'[4]18)管理费用预算表'!I61+'[5]18)管理费用预算表'!I61</f>
        <v>15000</v>
      </c>
      <c r="J61" s="73">
        <f>'[3]17)管理费用预算表'!J61+'[4]18)管理费用预算表'!J61+'[5]18)管理费用预算表'!J61</f>
        <v>28400</v>
      </c>
      <c r="K61" s="73">
        <f>'[3]17)管理费用预算表'!K61+'[4]18)管理费用预算表'!K61+'[5]18)管理费用预算表'!K61</f>
        <v>10000</v>
      </c>
      <c r="L61" s="82">
        <f t="shared" si="12"/>
        <v>2.056798790576358</v>
      </c>
      <c r="M61" s="80"/>
    </row>
    <row r="62" spans="1:13" ht="18" customHeight="1">
      <c r="A62" s="78" t="s">
        <v>848</v>
      </c>
      <c r="B62" s="73">
        <f>'[3]17)管理费用预算表'!B62+'[4]18)管理费用预算表'!B62+'[5]18)管理费用预算表'!B62</f>
        <v>18450</v>
      </c>
      <c r="C62" s="73">
        <f>'[3]17)管理费用预算表'!C62+'[4]18)管理费用预算表'!C62+'[5]18)管理费用预算表'!C62</f>
        <v>0</v>
      </c>
      <c r="D62" s="73">
        <f>'[3]17)管理费用预算表'!D62+'[4]18)管理费用预算表'!D62+'[5]18)管理费用预算表'!D62</f>
        <v>0</v>
      </c>
      <c r="E62" s="73">
        <f t="shared" si="15"/>
        <v>0</v>
      </c>
      <c r="F62" s="74">
        <f t="shared" si="11"/>
        <v>0</v>
      </c>
      <c r="G62" s="73">
        <f t="shared" si="13"/>
        <v>3200</v>
      </c>
      <c r="H62" s="73">
        <f>'[3]17)管理费用预算表'!H62+'[4]18)管理费用预算表'!H62+'[5]18)管理费用预算表'!H62</f>
        <v>800</v>
      </c>
      <c r="I62" s="73">
        <f>'[3]17)管理费用预算表'!I62+'[4]18)管理费用预算表'!I62+'[5]18)管理费用预算表'!I62</f>
        <v>800</v>
      </c>
      <c r="J62" s="73">
        <f>'[3]17)管理费用预算表'!J62+'[4]18)管理费用预算表'!J62+'[5]18)管理费用预算表'!J62</f>
        <v>800</v>
      </c>
      <c r="K62" s="73">
        <f>'[3]17)管理费用预算表'!K62+'[4]18)管理费用预算表'!K62+'[5]18)管理费用预算表'!K62</f>
        <v>800</v>
      </c>
      <c r="L62" s="82" t="e">
        <f t="shared" si="12"/>
        <v>#DIV/0!</v>
      </c>
      <c r="M62" s="80"/>
    </row>
    <row r="63" spans="1:13" ht="18" customHeight="1">
      <c r="A63" s="77" t="s">
        <v>849</v>
      </c>
      <c r="B63" s="73">
        <f>'[3]17)管理费用预算表'!B63+'[4]18)管理费用预算表'!B63+'[5]18)管理费用预算表'!B63</f>
        <v>0</v>
      </c>
      <c r="C63" s="73">
        <f>'[3]17)管理费用预算表'!C63+'[4]18)管理费用预算表'!C63+'[5]18)管理费用预算表'!C63</f>
        <v>0</v>
      </c>
      <c r="D63" s="73">
        <f>'[3]17)管理费用预算表'!D63+'[4]18)管理费用预算表'!D63+'[5]18)管理费用预算表'!D63</f>
        <v>0</v>
      </c>
      <c r="E63" s="73">
        <f t="shared" si="15"/>
        <v>0</v>
      </c>
      <c r="F63" s="74" t="e">
        <f t="shared" si="11"/>
        <v>#DIV/0!</v>
      </c>
      <c r="G63" s="73">
        <f t="shared" si="13"/>
        <v>0</v>
      </c>
      <c r="H63" s="73">
        <f>'[3]17)管理费用预算表'!H63+'[4]18)管理费用预算表'!H63+'[5]18)管理费用预算表'!H63</f>
        <v>0</v>
      </c>
      <c r="I63" s="73">
        <f>'[3]17)管理费用预算表'!I63+'[4]18)管理费用预算表'!I63+'[5]18)管理费用预算表'!I63</f>
        <v>0</v>
      </c>
      <c r="J63" s="73">
        <f>'[3]17)管理费用预算表'!J63+'[4]18)管理费用预算表'!J63+'[5]18)管理费用预算表'!J63</f>
        <v>0</v>
      </c>
      <c r="K63" s="73">
        <f>'[3]17)管理费用预算表'!K63+'[4]18)管理费用预算表'!K63+'[5]18)管理费用预算表'!K63</f>
        <v>0</v>
      </c>
      <c r="L63" s="82" t="e">
        <f t="shared" si="12"/>
        <v>#DIV/0!</v>
      </c>
      <c r="M63" s="80"/>
    </row>
    <row r="64" spans="1:23" ht="18" customHeight="1">
      <c r="A64" s="78" t="s">
        <v>850</v>
      </c>
      <c r="B64" s="73">
        <f>'[3]17)管理费用预算表'!B64+'[4]18)管理费用预算表'!B64+'[5]18)管理费用预算表'!B64</f>
        <v>2000</v>
      </c>
      <c r="C64" s="73">
        <f>'[3]17)管理费用预算表'!C64+'[4]18)管理费用预算表'!C64+'[5]18)管理费用预算表'!C64</f>
        <v>2212</v>
      </c>
      <c r="D64" s="73">
        <f>'[3]17)管理费用预算表'!D64+'[4]18)管理费用预算表'!D64+'[5]18)管理费用预算表'!D64</f>
        <v>2428</v>
      </c>
      <c r="E64" s="73">
        <f t="shared" si="15"/>
        <v>4640</v>
      </c>
      <c r="F64" s="74">
        <f t="shared" si="11"/>
        <v>2.32</v>
      </c>
      <c r="G64" s="73">
        <f t="shared" si="13"/>
        <v>11000</v>
      </c>
      <c r="H64" s="73">
        <f>'[3]17)管理费用预算表'!H64+'[4]18)管理费用预算表'!H64+'[5]18)管理费用预算表'!H64</f>
        <v>2500</v>
      </c>
      <c r="I64" s="73">
        <f>'[3]17)管理费用预算表'!I64+'[4]18)管理费用预算表'!I64+'[5]18)管理费用预算表'!I64</f>
        <v>2500</v>
      </c>
      <c r="J64" s="73">
        <f>'[3]17)管理费用预算表'!J64+'[4]18)管理费用预算表'!J64+'[5]18)管理费用预算表'!J64</f>
        <v>2500</v>
      </c>
      <c r="K64" s="73">
        <f>'[3]17)管理费用预算表'!K64+'[4]18)管理费用预算表'!K64+'[5]18)管理费用预算表'!K64</f>
        <v>3500</v>
      </c>
      <c r="L64" s="82">
        <f t="shared" si="12"/>
        <v>2.3706896551724137</v>
      </c>
      <c r="M64" s="80"/>
      <c r="W64" s="83"/>
    </row>
    <row r="65" spans="1:13" ht="18" customHeight="1">
      <c r="A65" s="78" t="s">
        <v>851</v>
      </c>
      <c r="B65" s="73">
        <f>'[3]17)管理费用预算表'!B65+'[4]18)管理费用预算表'!B65+'[5]18)管理费用预算表'!B65</f>
        <v>8500</v>
      </c>
      <c r="C65" s="73">
        <f>'[3]17)管理费用预算表'!C65+'[4]18)管理费用预算表'!C65+'[5]18)管理费用预算表'!C65</f>
        <v>4612</v>
      </c>
      <c r="D65" s="73">
        <f>'[3]17)管理费用预算表'!D65+'[4]18)管理费用预算表'!D65+'[5]18)管理费用预算表'!D65</f>
        <v>800</v>
      </c>
      <c r="E65" s="73">
        <f t="shared" si="15"/>
        <v>5412</v>
      </c>
      <c r="F65" s="74">
        <f t="shared" si="11"/>
        <v>0.6367058823529411</v>
      </c>
      <c r="G65" s="73">
        <f t="shared" si="13"/>
        <v>11560</v>
      </c>
      <c r="H65" s="73">
        <f>'[3]17)管理费用预算表'!H65+'[4]18)管理费用预算表'!H65+'[5]18)管理费用预算表'!H65</f>
        <v>3940</v>
      </c>
      <c r="I65" s="73">
        <f>'[3]17)管理费用预算表'!I65+'[4]18)管理费用预算表'!I65+'[5]18)管理费用预算表'!I65</f>
        <v>2740</v>
      </c>
      <c r="J65" s="73">
        <f>'[3]17)管理费用预算表'!J65+'[4]18)管理费用预算表'!J65+'[5]18)管理费用预算表'!J65</f>
        <v>2740</v>
      </c>
      <c r="K65" s="73">
        <f>'[3]17)管理费用预算表'!K65+'[4]18)管理费用预算表'!K65+'[5]18)管理费用预算表'!K65</f>
        <v>2140</v>
      </c>
      <c r="L65" s="82">
        <f t="shared" si="12"/>
        <v>2.1359940872135996</v>
      </c>
      <c r="M65" s="80"/>
    </row>
    <row r="66" spans="1:13" ht="18" customHeight="1">
      <c r="A66" s="78" t="s">
        <v>852</v>
      </c>
      <c r="B66" s="73">
        <f>'[3]17)管理费用预算表'!B66+'[4]18)管理费用预算表'!B66+'[5]18)管理费用预算表'!B66</f>
        <v>38640</v>
      </c>
      <c r="C66" s="73">
        <f>'[3]17)管理费用预算表'!C66+'[4]18)管理费用预算表'!C66+'[5]18)管理费用预算表'!C66</f>
        <v>25820.49</v>
      </c>
      <c r="D66" s="73">
        <f>'[3]17)管理费用预算表'!D66+'[4]18)管理费用预算表'!D66+'[5]18)管理费用预算表'!D66</f>
        <v>0</v>
      </c>
      <c r="E66" s="73">
        <f t="shared" si="15"/>
        <v>25820.49</v>
      </c>
      <c r="F66" s="74">
        <f t="shared" si="11"/>
        <v>0.6682321428571429</v>
      </c>
      <c r="G66" s="73">
        <f t="shared" si="13"/>
        <v>291740</v>
      </c>
      <c r="H66" s="73">
        <f>'[3]17)管理费用预算表'!H66+'[4]18)管理费用预算表'!H66+'[5]18)管理费用预算表'!H66</f>
        <v>54920</v>
      </c>
      <c r="I66" s="73">
        <f>'[3]17)管理费用预算表'!I66+'[4]18)管理费用预算表'!I66+'[5]18)管理费用预算表'!I66</f>
        <v>218320</v>
      </c>
      <c r="J66" s="73">
        <f>'[3]17)管理费用预算表'!J66+'[4]18)管理费用预算表'!J66+'[5]18)管理费用预算表'!J66</f>
        <v>15500</v>
      </c>
      <c r="K66" s="73">
        <f>'[3]17)管理费用预算表'!K66+'[4]18)管理费用预算表'!K66+'[5]18)管理费用预算表'!K66</f>
        <v>3000</v>
      </c>
      <c r="L66" s="82">
        <f t="shared" si="12"/>
        <v>11.298778605673245</v>
      </c>
      <c r="M66" s="80"/>
    </row>
    <row r="67" spans="1:13" ht="18" customHeight="1">
      <c r="A67" s="78" t="s">
        <v>853</v>
      </c>
      <c r="B67" s="73"/>
      <c r="C67" s="73"/>
      <c r="D67" s="84"/>
      <c r="E67" s="73">
        <f t="shared" si="15"/>
        <v>0</v>
      </c>
      <c r="F67" s="74" t="e">
        <f t="shared" si="11"/>
        <v>#DIV/0!</v>
      </c>
      <c r="G67" s="73">
        <f t="shared" si="13"/>
        <v>0</v>
      </c>
      <c r="H67" s="85"/>
      <c r="I67" s="85"/>
      <c r="J67" s="85"/>
      <c r="K67" s="85"/>
      <c r="L67" s="82" t="e">
        <f t="shared" si="12"/>
        <v>#DIV/0!</v>
      </c>
      <c r="M67" s="80"/>
    </row>
    <row r="68" spans="1:13" ht="18" customHeight="1">
      <c r="A68" s="78" t="s">
        <v>854</v>
      </c>
      <c r="B68" s="76">
        <f>SUM(B69:B74)</f>
        <v>142309.48666666666</v>
      </c>
      <c r="C68" s="73">
        <f>SUM(C69:C74)</f>
        <v>181738.67</v>
      </c>
      <c r="D68" s="76">
        <f>SUM(D69:D74)</f>
        <v>69238.54</v>
      </c>
      <c r="E68" s="76">
        <f>SUM(E69:E74)</f>
        <v>250977.21</v>
      </c>
      <c r="F68" s="74">
        <f t="shared" si="11"/>
        <v>1.7636014005718896</v>
      </c>
      <c r="G68" s="76">
        <f>SUM(G69:G74)</f>
        <v>419899.95666666667</v>
      </c>
      <c r="H68" s="76">
        <f>SUM(H69:H74)</f>
        <v>82669.58</v>
      </c>
      <c r="I68" s="76">
        <f>SUM(I69:I74)</f>
        <v>134412</v>
      </c>
      <c r="J68" s="76">
        <f>SUM(J69:J74)</f>
        <v>128816.24333333333</v>
      </c>
      <c r="K68" s="76">
        <f>SUM(K69:K74)</f>
        <v>74002.13333333333</v>
      </c>
      <c r="L68" s="82">
        <f t="shared" si="12"/>
        <v>1.6730601024159393</v>
      </c>
      <c r="M68" s="80"/>
    </row>
    <row r="69" spans="1:13" ht="18" customHeight="1">
      <c r="A69" s="78" t="s">
        <v>804</v>
      </c>
      <c r="B69" s="73">
        <f>'[3]17)管理费用预算表'!B69+'[4]18)管理费用预算表'!B69+'[5]18)管理费用预算表'!B69</f>
        <v>88154.68</v>
      </c>
      <c r="C69" s="73">
        <f>'[3]17)管理费用预算表'!C69+'[4]18)管理费用预算表'!C69+'[5]18)管理费用预算表'!C69</f>
        <v>94064.86</v>
      </c>
      <c r="D69" s="73">
        <f>'[3]17)管理费用预算表'!D69+'[4]18)管理费用预算表'!D69+'[5]18)管理费用预算表'!D69</f>
        <v>30001.77</v>
      </c>
      <c r="E69" s="73">
        <f aca="true" t="shared" si="16" ref="E69:E74">C69+D69</f>
        <v>124066.63</v>
      </c>
      <c r="F69" s="74">
        <f t="shared" si="11"/>
        <v>1.407374288012843</v>
      </c>
      <c r="G69" s="73">
        <f aca="true" t="shared" si="17" ref="G69:G74">SUM(H69:K69)</f>
        <v>160226.91666666666</v>
      </c>
      <c r="H69" s="73">
        <f>'[3]17)管理费用预算表'!H69+'[4]18)管理费用预算表'!H69+'[5]18)管理费用预算表'!H69</f>
        <v>32623.57</v>
      </c>
      <c r="I69" s="73">
        <f>'[3]17)管理费用预算表'!I69+'[4]18)管理费用预算表'!I69+'[5]18)管理费用预算表'!I69</f>
        <v>43469.65666666666</v>
      </c>
      <c r="J69" s="73">
        <f>'[3]17)管理费用预算表'!J69+'[4]18)管理费用预算表'!J69+'[5]18)管理费用预算表'!J69</f>
        <v>45073.9</v>
      </c>
      <c r="K69" s="73">
        <f>'[3]17)管理费用预算表'!K69+'[4]18)管理费用预算表'!K69+'[5]18)管理费用预算表'!K69</f>
        <v>39059.79</v>
      </c>
      <c r="L69" s="82">
        <f t="shared" si="12"/>
        <v>1.2914586030640685</v>
      </c>
      <c r="M69" s="80"/>
    </row>
    <row r="70" spans="1:13" ht="18" customHeight="1">
      <c r="A70" s="78" t="s">
        <v>805</v>
      </c>
      <c r="B70" s="73">
        <f>'[3]17)管理费用预算表'!B70+'[4]18)管理费用预算表'!B70+'[5]18)管理费用预算表'!B70</f>
        <v>729.1666666666666</v>
      </c>
      <c r="C70" s="73">
        <f>'[3]17)管理费用预算表'!C70+'[4]18)管理费用预算表'!C70+'[5]18)管理费用预算表'!C70</f>
        <v>8132.03</v>
      </c>
      <c r="D70" s="73">
        <f>'[3]17)管理费用预算表'!D70+'[4]18)管理费用预算表'!D70+'[5]18)管理费用预算表'!D70</f>
        <v>11052.18</v>
      </c>
      <c r="E70" s="73">
        <f t="shared" si="16"/>
        <v>19184.21</v>
      </c>
      <c r="F70" s="74">
        <f t="shared" si="11"/>
        <v>26.309773714285715</v>
      </c>
      <c r="G70" s="73">
        <f t="shared" si="17"/>
        <v>72121.54000000001</v>
      </c>
      <c r="H70" s="73">
        <f>'[3]17)管理费用预算表'!H70+'[4]18)管理费用预算表'!H70+'[5]18)管理费用预算表'!H70</f>
        <v>15503.01</v>
      </c>
      <c r="I70" s="73">
        <f>'[3]17)管理费用预算表'!I70+'[4]18)管理费用预算表'!I70+'[5]18)管理费用预算表'!I70</f>
        <v>18872.843333333334</v>
      </c>
      <c r="J70" s="73">
        <f>'[3]17)管理费用预算表'!J70+'[4]18)管理费用预算表'!J70+'[5]18)管理费用预算表'!J70</f>
        <v>18872.843333333334</v>
      </c>
      <c r="K70" s="73">
        <f>'[3]17)管理费用预算表'!K70+'[4]18)管理费用预算表'!K70+'[5]18)管理费用预算表'!K70</f>
        <v>18872.843333333334</v>
      </c>
      <c r="L70" s="82">
        <f t="shared" si="12"/>
        <v>3.759421941273579</v>
      </c>
      <c r="M70" s="80"/>
    </row>
    <row r="71" spans="1:13" ht="18" customHeight="1">
      <c r="A71" s="78" t="s">
        <v>855</v>
      </c>
      <c r="B71" s="73">
        <f>'[3]17)管理费用预算表'!B71+'[4]18)管理费用预算表'!B71+'[5]18)管理费用预算表'!B71</f>
        <v>7370</v>
      </c>
      <c r="C71" s="73">
        <f>'[3]17)管理费用预算表'!C71+'[4]18)管理费用预算表'!C71+'[5]18)管理费用预算表'!C71</f>
        <v>24529.55</v>
      </c>
      <c r="D71" s="73">
        <f>'[3]17)管理费用预算表'!D71+'[4]18)管理费用预算表'!D71+'[5]18)管理费用预算表'!D71</f>
        <v>1000</v>
      </c>
      <c r="E71" s="73">
        <f t="shared" si="16"/>
        <v>25529.55</v>
      </c>
      <c r="F71" s="74">
        <f t="shared" si="11"/>
        <v>3.4639823609226594</v>
      </c>
      <c r="G71" s="73">
        <f t="shared" si="17"/>
        <v>49400</v>
      </c>
      <c r="H71" s="73">
        <f>'[3]17)管理费用预算表'!H71+'[4]18)管理费用预算表'!H71+'[5]18)管理费用预算表'!H71</f>
        <v>14200</v>
      </c>
      <c r="I71" s="73">
        <f>'[3]17)管理费用预算表'!I71+'[4]18)管理费用预算表'!I71+'[5]18)管理费用预算表'!I71</f>
        <v>16700</v>
      </c>
      <c r="J71" s="73">
        <f>'[3]17)管理费用预算表'!J71+'[4]18)管理费用预算表'!J71+'[5]18)管理费用预算表'!J71</f>
        <v>9500</v>
      </c>
      <c r="K71" s="73">
        <f>'[3]17)管理费用预算表'!K71+'[4]18)管理费用预算表'!K71+'[5]18)管理费用预算表'!K71</f>
        <v>9000</v>
      </c>
      <c r="L71" s="82">
        <f t="shared" si="12"/>
        <v>1.935012563872062</v>
      </c>
      <c r="M71" s="80"/>
    </row>
    <row r="72" spans="1:13" ht="18" customHeight="1">
      <c r="A72" s="30" t="s">
        <v>856</v>
      </c>
      <c r="B72" s="73">
        <f>'[3]17)管理费用预算表'!B72+'[4]18)管理费用预算表'!B72+'[5]18)管理费用预算表'!B72</f>
        <v>46055.64</v>
      </c>
      <c r="C72" s="73">
        <f>'[3]17)管理费用预算表'!C72+'[4]18)管理费用预算表'!C72+'[5]18)管理费用预算表'!C72</f>
        <v>55012.23</v>
      </c>
      <c r="D72" s="73">
        <f>'[3]17)管理费用预算表'!D72+'[4]18)管理费用预算表'!D72+'[5]18)管理费用预算表'!D72</f>
        <v>27184.59</v>
      </c>
      <c r="E72" s="73">
        <f t="shared" si="16"/>
        <v>82196.82</v>
      </c>
      <c r="F72" s="74">
        <f t="shared" si="11"/>
        <v>1.7847286456121336</v>
      </c>
      <c r="G72" s="73">
        <f t="shared" si="17"/>
        <v>138151.5</v>
      </c>
      <c r="H72" s="73">
        <f>'[3]17)管理费用预算表'!H72+'[4]18)管理费用预算表'!H72+'[5]18)管理费用预算表'!H72</f>
        <v>20343</v>
      </c>
      <c r="I72" s="73">
        <f>'[3]17)管理费用预算表'!I72+'[4]18)管理费用预算表'!I72+'[5]18)管理费用预算表'!I72</f>
        <v>55369.5</v>
      </c>
      <c r="J72" s="73">
        <f>'[3]17)管理费用预算表'!J72+'[4]18)管理费用预算表'!J72+'[5]18)管理费用预算表'!J72</f>
        <v>55369.5</v>
      </c>
      <c r="K72" s="73">
        <f>'[3]17)管理费用预算表'!K72+'[4]18)管理费用预算表'!K72+'[5]18)管理费用预算表'!K72</f>
        <v>7069.5</v>
      </c>
      <c r="L72" s="82">
        <f t="shared" si="12"/>
        <v>1.6807402038181039</v>
      </c>
      <c r="M72" s="80"/>
    </row>
    <row r="73" spans="1:13" ht="18" customHeight="1">
      <c r="A73" s="30" t="s">
        <v>857</v>
      </c>
      <c r="B73" s="73">
        <f>'[3]17)管理费用预算表'!B73+'[4]18)管理费用预算表'!B73+'[5]18)管理费用预算表'!B73</f>
        <v>0</v>
      </c>
      <c r="C73" s="73">
        <f>'[3]17)管理费用预算表'!C73+'[4]18)管理费用预算表'!C73+'[5]18)管理费用预算表'!C73</f>
        <v>0</v>
      </c>
      <c r="D73" s="73">
        <f>'[3]17)管理费用预算表'!D73+'[4]18)管理费用预算表'!D73+'[5]18)管理费用预算表'!D73</f>
        <v>0</v>
      </c>
      <c r="E73" s="73">
        <f t="shared" si="16"/>
        <v>0</v>
      </c>
      <c r="F73" s="74" t="e">
        <f t="shared" si="11"/>
        <v>#DIV/0!</v>
      </c>
      <c r="G73" s="73">
        <f t="shared" si="17"/>
        <v>0</v>
      </c>
      <c r="H73" s="73">
        <f>'[3]17)管理费用预算表'!H73+'[4]18)管理费用预算表'!H73+'[5]18)管理费用预算表'!H73</f>
        <v>0</v>
      </c>
      <c r="I73" s="73">
        <f>'[3]17)管理费用预算表'!I73+'[4]18)管理费用预算表'!I73+'[5]18)管理费用预算表'!I73</f>
        <v>0</v>
      </c>
      <c r="J73" s="73">
        <f>'[3]17)管理费用预算表'!J73+'[4]18)管理费用预算表'!J73+'[5]18)管理费用预算表'!J73</f>
        <v>0</v>
      </c>
      <c r="K73" s="73">
        <f>'[3]17)管理费用预算表'!K73+'[4]18)管理费用预算表'!K73+'[5]18)管理费用预算表'!K73</f>
        <v>0</v>
      </c>
      <c r="L73" s="82" t="e">
        <f t="shared" si="12"/>
        <v>#DIV/0!</v>
      </c>
      <c r="M73" s="80"/>
    </row>
    <row r="74" spans="1:13" ht="18" customHeight="1">
      <c r="A74" s="30" t="s">
        <v>806</v>
      </c>
      <c r="B74" s="73">
        <f>'[3]17)管理费用预算表'!B74+'[4]18)管理费用预算表'!B74+'[5]18)管理费用预算表'!B74</f>
        <v>0</v>
      </c>
      <c r="C74" s="73">
        <f>'[3]17)管理费用预算表'!C74+'[4]18)管理费用预算表'!C74+'[5]18)管理费用预算表'!C74</f>
        <v>0</v>
      </c>
      <c r="D74" s="73">
        <f>'[3]17)管理费用预算表'!D74+'[4]18)管理费用预算表'!D74+'[5]18)管理费用预算表'!D74</f>
        <v>0</v>
      </c>
      <c r="E74" s="73">
        <f t="shared" si="16"/>
        <v>0</v>
      </c>
      <c r="F74" s="74" t="e">
        <f t="shared" si="11"/>
        <v>#DIV/0!</v>
      </c>
      <c r="G74" s="73">
        <f t="shared" si="17"/>
        <v>0</v>
      </c>
      <c r="H74" s="73">
        <f>'[3]17)管理费用预算表'!H74+'[4]18)管理费用预算表'!H74+'[5]18)管理费用预算表'!H74</f>
        <v>0</v>
      </c>
      <c r="I74" s="73">
        <f>'[3]17)管理费用预算表'!I74+'[4]18)管理费用预算表'!I74+'[5]18)管理费用预算表'!I74</f>
        <v>0</v>
      </c>
      <c r="J74" s="73">
        <f>'[3]17)管理费用预算表'!J74+'[4]18)管理费用预算表'!J74+'[5]18)管理费用预算表'!J74</f>
        <v>0</v>
      </c>
      <c r="K74" s="73">
        <f>'[3]17)管理费用预算表'!K74+'[4]18)管理费用预算表'!K74+'[5]18)管理费用预算表'!K74</f>
        <v>0</v>
      </c>
      <c r="L74" s="82" t="e">
        <f t="shared" si="12"/>
        <v>#DIV/0!</v>
      </c>
      <c r="M74" s="80"/>
    </row>
    <row r="75" spans="1:13" ht="18" customHeight="1">
      <c r="A75" s="80"/>
      <c r="B75" s="80"/>
      <c r="C75" s="81"/>
      <c r="D75" s="86" t="s">
        <v>340</v>
      </c>
      <c r="E75" s="59"/>
      <c r="F75" s="59"/>
      <c r="G75" s="59"/>
      <c r="H75" s="81"/>
      <c r="I75" s="87" t="s">
        <v>380</v>
      </c>
      <c r="J75" s="59"/>
      <c r="K75" s="59"/>
      <c r="L75" s="59"/>
      <c r="M75" s="59"/>
    </row>
    <row r="76" spans="1:13" ht="18" customHeight="1" hidden="1">
      <c r="A76" s="80"/>
      <c r="B76" s="80"/>
      <c r="C76" s="81"/>
      <c r="D76" s="59"/>
      <c r="E76" s="59"/>
      <c r="F76" s="59"/>
      <c r="G76" s="59"/>
      <c r="H76" s="59"/>
      <c r="I76" s="59"/>
      <c r="J76" s="59"/>
      <c r="K76" s="59"/>
      <c r="L76" s="59"/>
      <c r="M76" s="59"/>
    </row>
  </sheetData>
  <sheetProtection/>
  <mergeCells count="6">
    <mergeCell ref="A1:M1"/>
    <mergeCell ref="B3:F3"/>
    <mergeCell ref="G3:K3"/>
    <mergeCell ref="A3:A4"/>
    <mergeCell ref="L3:L4"/>
    <mergeCell ref="M3:M4"/>
  </mergeCells>
  <printOptions/>
  <pageMargins left="0.57" right="0.35" top="0.47" bottom="0.43000000000000005" header="0.31" footer="0.28"/>
  <pageSetup fitToHeight="1" fitToWidth="1" horizontalDpi="300" verticalDpi="300" orientation="portrait" paperSize="9" scale="51"/>
</worksheet>
</file>

<file path=xl/worksheets/sheet35.xml><?xml version="1.0" encoding="utf-8"?>
<worksheet xmlns="http://schemas.openxmlformats.org/spreadsheetml/2006/main" xmlns:r="http://schemas.openxmlformats.org/officeDocument/2006/relationships">
  <sheetPr>
    <pageSetUpPr fitToPage="1"/>
  </sheetPr>
  <dimension ref="A1:M12"/>
  <sheetViews>
    <sheetView workbookViewId="0" topLeftCell="A1">
      <selection activeCell="F15" sqref="F15"/>
    </sheetView>
  </sheetViews>
  <sheetFormatPr defaultColWidth="9.140625" defaultRowHeight="12.75"/>
  <cols>
    <col min="1" max="1" width="27.7109375" style="0" customWidth="1"/>
    <col min="2" max="2" width="14.421875" style="0" customWidth="1"/>
    <col min="3" max="4" width="15.00390625" style="0" customWidth="1"/>
    <col min="5" max="5" width="14.28125" style="0" customWidth="1"/>
    <col min="6" max="6" width="10.421875" style="0" customWidth="1"/>
    <col min="7" max="11" width="13.57421875" style="0" customWidth="1"/>
    <col min="12" max="12" width="10.421875" style="0" customWidth="1"/>
    <col min="13" max="13" width="9.8515625" style="0" customWidth="1"/>
  </cols>
  <sheetData>
    <row r="1" spans="1:13" ht="21" customHeight="1">
      <c r="A1" s="23" t="s">
        <v>858</v>
      </c>
      <c r="B1" s="23"/>
      <c r="C1" s="23" t="s">
        <v>858</v>
      </c>
      <c r="D1" s="23" t="s">
        <v>858</v>
      </c>
      <c r="E1" s="23" t="s">
        <v>858</v>
      </c>
      <c r="F1" s="23"/>
      <c r="G1" s="23" t="s">
        <v>858</v>
      </c>
      <c r="H1" s="23" t="s">
        <v>858</v>
      </c>
      <c r="I1" s="23" t="s">
        <v>858</v>
      </c>
      <c r="J1" s="23" t="s">
        <v>858</v>
      </c>
      <c r="K1" s="23" t="s">
        <v>858</v>
      </c>
      <c r="L1" s="23" t="s">
        <v>858</v>
      </c>
      <c r="M1" s="23" t="s">
        <v>858</v>
      </c>
    </row>
    <row r="2" spans="1:13" ht="18" customHeight="1">
      <c r="A2" s="5" t="s">
        <v>287</v>
      </c>
      <c r="B2" s="54"/>
      <c r="C2" s="45"/>
      <c r="D2" s="46"/>
      <c r="E2" s="47"/>
      <c r="F2" s="55"/>
      <c r="G2" s="4" t="s">
        <v>288</v>
      </c>
      <c r="I2" s="5"/>
      <c r="J2" s="5"/>
      <c r="K2" s="5"/>
      <c r="L2" s="5"/>
      <c r="M2" s="16" t="s">
        <v>1</v>
      </c>
    </row>
    <row r="3" spans="1:13" ht="18" customHeight="1">
      <c r="A3" s="18" t="s">
        <v>290</v>
      </c>
      <c r="B3" s="38" t="s">
        <v>366</v>
      </c>
      <c r="C3" s="38"/>
      <c r="D3" s="38"/>
      <c r="E3" s="38"/>
      <c r="F3" s="38"/>
      <c r="G3" s="9" t="s">
        <v>292</v>
      </c>
      <c r="H3" s="9" t="s">
        <v>292</v>
      </c>
      <c r="I3" s="9" t="s">
        <v>292</v>
      </c>
      <c r="J3" s="9" t="s">
        <v>292</v>
      </c>
      <c r="K3" s="9" t="s">
        <v>292</v>
      </c>
      <c r="L3" s="9" t="s">
        <v>293</v>
      </c>
      <c r="M3" s="18" t="s">
        <v>33</v>
      </c>
    </row>
    <row r="4" spans="1:13" ht="18" customHeight="1">
      <c r="A4" s="18" t="s">
        <v>290</v>
      </c>
      <c r="B4" s="9" t="s">
        <v>294</v>
      </c>
      <c r="C4" s="9" t="s">
        <v>295</v>
      </c>
      <c r="D4" s="9" t="s">
        <v>296</v>
      </c>
      <c r="E4" s="9" t="s">
        <v>745</v>
      </c>
      <c r="F4" s="9" t="s">
        <v>299</v>
      </c>
      <c r="G4" s="9" t="s">
        <v>314</v>
      </c>
      <c r="H4" s="9" t="s">
        <v>324</v>
      </c>
      <c r="I4" s="9" t="s">
        <v>331</v>
      </c>
      <c r="J4" s="9" t="s">
        <v>334</v>
      </c>
      <c r="K4" s="9" t="s">
        <v>336</v>
      </c>
      <c r="L4" s="9" t="s">
        <v>293</v>
      </c>
      <c r="M4" s="18" t="s">
        <v>33</v>
      </c>
    </row>
    <row r="5" spans="1:13" ht="18" customHeight="1">
      <c r="A5" s="25" t="s">
        <v>859</v>
      </c>
      <c r="B5" s="11">
        <f>SUM(B6:B11)</f>
        <v>-155165</v>
      </c>
      <c r="C5" s="11">
        <f>SUM(C6:C11)</f>
        <v>-452605.43000000005</v>
      </c>
      <c r="D5" s="11">
        <f>SUM(D6:D11)</f>
        <v>-124916.46</v>
      </c>
      <c r="E5" s="11">
        <f>SUM(E6:E11)</f>
        <v>-577521.89</v>
      </c>
      <c r="F5" s="40">
        <f>E5/B5</f>
        <v>3.721985563754713</v>
      </c>
      <c r="G5" s="11">
        <f>SUM(G6:G11)</f>
        <v>-500365.84</v>
      </c>
      <c r="H5" s="11">
        <f>SUM(H6:H11)</f>
        <v>-125216.46</v>
      </c>
      <c r="I5" s="11">
        <f>SUM(I6:I11)</f>
        <v>-125216.46</v>
      </c>
      <c r="J5" s="11">
        <f>SUM(J6:J11)</f>
        <v>-124816.46</v>
      </c>
      <c r="K5" s="11">
        <f>SUM(K6:K11)</f>
        <v>-125116.46</v>
      </c>
      <c r="L5" s="41">
        <f>G5/E5</f>
        <v>0.866401514235244</v>
      </c>
      <c r="M5" s="5"/>
    </row>
    <row r="6" spans="1:13" ht="18" customHeight="1">
      <c r="A6" s="25" t="s">
        <v>860</v>
      </c>
      <c r="B6" s="11">
        <f>'[3]18)财务费用预算表'!B6+'[4]19)财务费用预算表'!B6+'[5]19)财务费用预算表'!B6</f>
        <v>-162055</v>
      </c>
      <c r="C6" s="11">
        <f>'[3]18)财务费用预算表'!C6+'[4]19)财务费用预算表'!C6+'[5]19)财务费用预算表'!C6</f>
        <v>-455637.43000000005</v>
      </c>
      <c r="D6" s="11">
        <f>'[3]18)财务费用预算表'!D6+'[4]19)财务费用预算表'!D6+'[5]19)财务费用预算表'!D6</f>
        <v>-126206.46</v>
      </c>
      <c r="E6" s="11">
        <f aca="true" t="shared" si="0" ref="E6:E11">C6+D6</f>
        <v>-581843.89</v>
      </c>
      <c r="F6" s="40">
        <f aca="true" t="shared" si="1" ref="F6:F11">E6/B6</f>
        <v>3.5904099842646016</v>
      </c>
      <c r="G6" s="11">
        <f aca="true" t="shared" si="2" ref="G6:G11">SUM(H6:K6)</f>
        <v>-505705.84</v>
      </c>
      <c r="H6" s="11">
        <f>'[3]18)财务费用预算表'!H6+'[4]19)财务费用预算表'!H6+'[5]19)财务费用预算表'!H6</f>
        <v>-126426.46</v>
      </c>
      <c r="I6" s="11">
        <f>'[3]18)财务费用预算表'!I6+'[4]19)财务费用预算表'!I6+'[5]19)财务费用预算表'!I6</f>
        <v>-126426.46</v>
      </c>
      <c r="J6" s="11">
        <f>'[3]18)财务费用预算表'!J6+'[4]19)财务费用预算表'!J6+'[5]19)财务费用预算表'!J6</f>
        <v>-126426.46</v>
      </c>
      <c r="K6" s="11">
        <f>'[3]18)财务费用预算表'!K6+'[4]19)财务费用预算表'!K6+'[5]19)财务费用预算表'!K6</f>
        <v>-126426.46</v>
      </c>
      <c r="L6" s="41">
        <f aca="true" t="shared" si="3" ref="L6:L11">G6/E6</f>
        <v>0.8691435085792514</v>
      </c>
      <c r="M6" s="5"/>
    </row>
    <row r="7" spans="1:13" ht="18" customHeight="1">
      <c r="A7" s="25" t="s">
        <v>861</v>
      </c>
      <c r="B7" s="11">
        <f>'[3]18)财务费用预算表'!B7+'[4]19)财务费用预算表'!B7+'[5]19)财务费用预算表'!B7</f>
        <v>0</v>
      </c>
      <c r="C7" s="11">
        <f>'[3]18)财务费用预算表'!C7+'[4]19)财务费用预算表'!C7+'[5]19)财务费用预算表'!C7</f>
        <v>0</v>
      </c>
      <c r="D7" s="11">
        <f>'[3]18)财务费用预算表'!D7+'[4]19)财务费用预算表'!D7+'[5]19)财务费用预算表'!D7</f>
        <v>0</v>
      </c>
      <c r="E7" s="11">
        <f t="shared" si="0"/>
        <v>0</v>
      </c>
      <c r="F7" s="40" t="e">
        <f t="shared" si="1"/>
        <v>#DIV/0!</v>
      </c>
      <c r="G7" s="11">
        <f t="shared" si="2"/>
        <v>0</v>
      </c>
      <c r="H7" s="11">
        <f>'[3]18)财务费用预算表'!H7+'[4]19)财务费用预算表'!H7+'[5]19)财务费用预算表'!H7</f>
        <v>0</v>
      </c>
      <c r="I7" s="11">
        <f>'[3]18)财务费用预算表'!I7+'[4]19)财务费用预算表'!I7+'[5]19)财务费用预算表'!I7</f>
        <v>0</v>
      </c>
      <c r="J7" s="11">
        <f>'[3]18)财务费用预算表'!J7+'[4]19)财务费用预算表'!J7+'[5]19)财务费用预算表'!J7</f>
        <v>0</v>
      </c>
      <c r="K7" s="11">
        <f>'[3]18)财务费用预算表'!K7+'[4]19)财务费用预算表'!K7+'[5]19)财务费用预算表'!K7</f>
        <v>0</v>
      </c>
      <c r="L7" s="41" t="e">
        <f t="shared" si="3"/>
        <v>#DIV/0!</v>
      </c>
      <c r="M7" s="5"/>
    </row>
    <row r="8" spans="1:13" ht="18" customHeight="1">
      <c r="A8" s="25" t="s">
        <v>862</v>
      </c>
      <c r="B8" s="11">
        <f>'[3]18)财务费用预算表'!B8+'[4]19)财务费用预算表'!B8+'[5]19)财务费用预算表'!B8</f>
        <v>5250</v>
      </c>
      <c r="C8" s="11">
        <f>'[3]18)财务费用预算表'!C8+'[4]19)财务费用预算表'!C8+'[5]19)财务费用预算表'!C8</f>
        <v>2540</v>
      </c>
      <c r="D8" s="11">
        <f>'[3]18)财务费用预算表'!D8+'[4]19)财务费用预算表'!D8+'[5]19)财务费用预算表'!D8</f>
        <v>930</v>
      </c>
      <c r="E8" s="11">
        <f t="shared" si="0"/>
        <v>3470</v>
      </c>
      <c r="F8" s="40">
        <f t="shared" si="1"/>
        <v>0.660952380952381</v>
      </c>
      <c r="G8" s="11">
        <f t="shared" si="2"/>
        <v>3800</v>
      </c>
      <c r="H8" s="11">
        <f>'[3]18)财务费用预算表'!H8+'[4]19)财务费用预算表'!H8+'[5]19)财务费用预算表'!H8</f>
        <v>950</v>
      </c>
      <c r="I8" s="11">
        <f>'[3]18)财务费用预算表'!I8+'[4]19)财务费用预算表'!I8+'[5]19)财务费用预算表'!I8</f>
        <v>950</v>
      </c>
      <c r="J8" s="11">
        <f>'[3]18)财务费用预算表'!J8+'[4]19)财务费用预算表'!J8+'[5]19)财务费用预算表'!J8</f>
        <v>950</v>
      </c>
      <c r="K8" s="11">
        <f>'[3]18)财务费用预算表'!K8+'[4]19)财务费用预算表'!K8+'[5]19)财务费用预算表'!K8</f>
        <v>950</v>
      </c>
      <c r="L8" s="41">
        <f t="shared" si="3"/>
        <v>1.095100864553314</v>
      </c>
      <c r="M8" s="5"/>
    </row>
    <row r="9" spans="1:13" ht="18" customHeight="1">
      <c r="A9" s="25" t="s">
        <v>863</v>
      </c>
      <c r="B9" s="11">
        <f>'[3]18)财务费用预算表'!B9+'[4]19)财务费用预算表'!B9+'[5]19)财务费用预算表'!B9</f>
        <v>1400</v>
      </c>
      <c r="C9" s="11">
        <f>'[3]18)财务费用预算表'!C9+'[4]19)财务费用预算表'!C9+'[5]19)财务费用预算表'!C9</f>
        <v>312</v>
      </c>
      <c r="D9" s="11">
        <f>'[3]18)财务费用预算表'!D9+'[4]19)财务费用预算表'!D9+'[5]19)财务费用预算表'!D9</f>
        <v>300</v>
      </c>
      <c r="E9" s="11">
        <f t="shared" si="0"/>
        <v>612</v>
      </c>
      <c r="F9" s="40">
        <f t="shared" si="1"/>
        <v>0.43714285714285717</v>
      </c>
      <c r="G9" s="11">
        <f t="shared" si="2"/>
        <v>1300</v>
      </c>
      <c r="H9" s="11">
        <f>'[3]18)财务费用预算表'!H9+'[4]19)财务费用预算表'!H9+'[5]19)财务费用预算表'!H9</f>
        <v>200</v>
      </c>
      <c r="I9" s="11">
        <f>'[3]18)财务费用预算表'!I9+'[4]19)财务费用预算表'!I9+'[5]19)财务费用预算表'!I9</f>
        <v>200</v>
      </c>
      <c r="J9" s="11">
        <f>'[3]18)财务费用预算表'!J9+'[4]19)财务费用预算表'!J9+'[5]19)财务费用预算表'!J9</f>
        <v>600</v>
      </c>
      <c r="K9" s="11">
        <f>'[3]18)财务费用预算表'!K9+'[4]19)财务费用预算表'!K9+'[5]19)财务费用预算表'!K9</f>
        <v>300</v>
      </c>
      <c r="L9" s="41">
        <f t="shared" si="3"/>
        <v>2.1241830065359477</v>
      </c>
      <c r="M9" s="5"/>
    </row>
    <row r="10" spans="1:13" ht="18" customHeight="1">
      <c r="A10" s="25" t="s">
        <v>864</v>
      </c>
      <c r="B10" s="11">
        <f>'[3]18)财务费用预算表'!B10+'[4]19)财务费用预算表'!B10+'[5]19)财务费用预算表'!B10</f>
        <v>0</v>
      </c>
      <c r="C10" s="11">
        <f>'[3]18)财务费用预算表'!C10+'[4]19)财务费用预算表'!C10+'[5]19)财务费用预算表'!C10</f>
        <v>0</v>
      </c>
      <c r="D10" s="11">
        <f>'[3]18)财务费用预算表'!D10+'[4]19)财务费用预算表'!D10+'[5]19)财务费用预算表'!D10</f>
        <v>0</v>
      </c>
      <c r="E10" s="11">
        <f t="shared" si="0"/>
        <v>0</v>
      </c>
      <c r="F10" s="40" t="e">
        <f t="shared" si="1"/>
        <v>#DIV/0!</v>
      </c>
      <c r="G10" s="11">
        <f t="shared" si="2"/>
        <v>0</v>
      </c>
      <c r="H10" s="11">
        <f>'[3]18)财务费用预算表'!H10+'[4]19)财务费用预算表'!H10+'[5]19)财务费用预算表'!H10</f>
        <v>0</v>
      </c>
      <c r="I10" s="11">
        <f>'[3]18)财务费用预算表'!I10+'[4]19)财务费用预算表'!I10+'[5]19)财务费用预算表'!I10</f>
        <v>0</v>
      </c>
      <c r="J10" s="11">
        <f>'[3]18)财务费用预算表'!J10+'[4]19)财务费用预算表'!J10+'[5]19)财务费用预算表'!J10</f>
        <v>0</v>
      </c>
      <c r="K10" s="11">
        <f>'[3]18)财务费用预算表'!K10+'[4]19)财务费用预算表'!K10+'[5]19)财务费用预算表'!K10</f>
        <v>0</v>
      </c>
      <c r="L10" s="41" t="e">
        <f t="shared" si="3"/>
        <v>#DIV/0!</v>
      </c>
      <c r="M10" s="5"/>
    </row>
    <row r="11" spans="1:13" ht="18" customHeight="1">
      <c r="A11" s="25" t="s">
        <v>729</v>
      </c>
      <c r="B11" s="11">
        <f>'[3]18)财务费用预算表'!B11+'[4]19)财务费用预算表'!B11+'[5]19)财务费用预算表'!B11</f>
        <v>240</v>
      </c>
      <c r="C11" s="11">
        <f>'[3]18)财务费用预算表'!C11+'[4]19)财务费用预算表'!C11+'[5]19)财务费用预算表'!C11</f>
        <v>180</v>
      </c>
      <c r="D11" s="11">
        <f>'[3]18)财务费用预算表'!D11+'[4]19)财务费用预算表'!D11+'[5]19)财务费用预算表'!D11</f>
        <v>60</v>
      </c>
      <c r="E11" s="11">
        <f t="shared" si="0"/>
        <v>240</v>
      </c>
      <c r="F11" s="40">
        <f t="shared" si="1"/>
        <v>1</v>
      </c>
      <c r="G11" s="11">
        <f t="shared" si="2"/>
        <v>240</v>
      </c>
      <c r="H11" s="11">
        <f>'[3]18)财务费用预算表'!H11+'[4]19)财务费用预算表'!H11+'[5]19)财务费用预算表'!H11</f>
        <v>60</v>
      </c>
      <c r="I11" s="11">
        <f>'[3]18)财务费用预算表'!I11+'[4]19)财务费用预算表'!I11+'[5]19)财务费用预算表'!I11</f>
        <v>60</v>
      </c>
      <c r="J11" s="11">
        <f>'[3]18)财务费用预算表'!J11+'[4]19)财务费用预算表'!J11+'[5]19)财务费用预算表'!J11</f>
        <v>60</v>
      </c>
      <c r="K11" s="11">
        <f>'[3]18)财务费用预算表'!K11+'[4]19)财务费用预算表'!K11+'[5]19)财务费用预算表'!K11</f>
        <v>60</v>
      </c>
      <c r="L11" s="41">
        <f t="shared" si="3"/>
        <v>1</v>
      </c>
      <c r="M11" s="5"/>
    </row>
    <row r="12" spans="1:13" ht="18" customHeight="1">
      <c r="A12" s="5"/>
      <c r="B12" s="5"/>
      <c r="C12" s="16"/>
      <c r="D12" s="4" t="s">
        <v>340</v>
      </c>
      <c r="E12" s="5"/>
      <c r="F12" s="5"/>
      <c r="G12" s="5"/>
      <c r="H12" s="16"/>
      <c r="I12" s="17" t="s">
        <v>380</v>
      </c>
      <c r="J12" s="5"/>
      <c r="K12" s="5"/>
      <c r="L12" s="5"/>
      <c r="M12" s="5"/>
    </row>
  </sheetData>
  <sheetProtection/>
  <mergeCells count="6">
    <mergeCell ref="A1:M1"/>
    <mergeCell ref="B3:F3"/>
    <mergeCell ref="G3:K3"/>
    <mergeCell ref="A3:A4"/>
    <mergeCell ref="L3:L4"/>
    <mergeCell ref="M3:M4"/>
  </mergeCells>
  <printOptions/>
  <pageMargins left="0.75" right="0.75" top="0.98" bottom="0.98" header="0.51" footer="0.51"/>
  <pageSetup fitToHeight="1" fitToWidth="1" horizontalDpi="300" verticalDpi="300" orientation="landscape" paperSize="9" scale="81"/>
</worksheet>
</file>

<file path=xl/worksheets/sheet36.xml><?xml version="1.0" encoding="utf-8"?>
<worksheet xmlns="http://schemas.openxmlformats.org/spreadsheetml/2006/main" xmlns:r="http://schemas.openxmlformats.org/officeDocument/2006/relationships">
  <sheetPr>
    <pageSetUpPr fitToPage="1"/>
  </sheetPr>
  <dimension ref="A1:L44"/>
  <sheetViews>
    <sheetView workbookViewId="0" topLeftCell="A23">
      <selection activeCell="E22" sqref="E22"/>
    </sheetView>
  </sheetViews>
  <sheetFormatPr defaultColWidth="9.140625" defaultRowHeight="12.75"/>
  <cols>
    <col min="1" max="1" width="29.28125" style="0" customWidth="1"/>
    <col min="2" max="2" width="6.28125" style="0" customWidth="1"/>
    <col min="3" max="3" width="14.57421875" style="0" customWidth="1"/>
    <col min="4" max="5" width="15.140625" style="0" customWidth="1"/>
    <col min="6" max="9" width="14.57421875" style="0" customWidth="1"/>
    <col min="10" max="10" width="9.140625" style="0" customWidth="1"/>
    <col min="12" max="12" width="12.8515625" style="0" bestFit="1" customWidth="1"/>
    <col min="13" max="13" width="11.7109375" style="0" bestFit="1" customWidth="1"/>
  </cols>
  <sheetData>
    <row r="1" spans="1:10" ht="24.75" customHeight="1">
      <c r="A1" s="43" t="s">
        <v>865</v>
      </c>
      <c r="B1" s="44"/>
      <c r="C1" s="44"/>
      <c r="D1" s="44"/>
      <c r="E1" s="44"/>
      <c r="F1" s="44"/>
      <c r="G1" s="44"/>
      <c r="H1" s="44"/>
      <c r="I1" s="44"/>
      <c r="J1" s="53"/>
    </row>
    <row r="2" spans="1:10" ht="18" customHeight="1">
      <c r="A2" s="5" t="s">
        <v>287</v>
      </c>
      <c r="B2" s="45"/>
      <c r="C2" s="46"/>
      <c r="D2" s="46"/>
      <c r="E2" s="17" t="s">
        <v>288</v>
      </c>
      <c r="F2" s="47"/>
      <c r="H2" s="5"/>
      <c r="I2" s="5"/>
      <c r="J2" s="16" t="s">
        <v>1</v>
      </c>
    </row>
    <row r="3" spans="1:10" ht="21" customHeight="1">
      <c r="A3" s="18" t="s">
        <v>866</v>
      </c>
      <c r="B3" s="18" t="s">
        <v>867</v>
      </c>
      <c r="C3" s="9" t="s">
        <v>868</v>
      </c>
      <c r="D3" s="48" t="s">
        <v>869</v>
      </c>
      <c r="E3" s="9" t="s">
        <v>464</v>
      </c>
      <c r="F3" s="9" t="s">
        <v>870</v>
      </c>
      <c r="G3" s="9" t="s">
        <v>870</v>
      </c>
      <c r="H3" s="9" t="s">
        <v>870</v>
      </c>
      <c r="I3" s="9" t="s">
        <v>870</v>
      </c>
      <c r="J3" s="18" t="s">
        <v>33</v>
      </c>
    </row>
    <row r="4" spans="1:10" ht="21.75" customHeight="1">
      <c r="A4" s="18" t="s">
        <v>866</v>
      </c>
      <c r="B4" s="18" t="s">
        <v>867</v>
      </c>
      <c r="C4" s="9" t="s">
        <v>868</v>
      </c>
      <c r="D4" s="49"/>
      <c r="E4" s="9"/>
      <c r="F4" s="9" t="s">
        <v>324</v>
      </c>
      <c r="G4" s="9" t="s">
        <v>331</v>
      </c>
      <c r="H4" s="9" t="s">
        <v>334</v>
      </c>
      <c r="I4" s="9" t="s">
        <v>336</v>
      </c>
      <c r="J4" s="18" t="s">
        <v>33</v>
      </c>
    </row>
    <row r="5" spans="1:10" ht="18" customHeight="1">
      <c r="A5" s="5" t="s">
        <v>871</v>
      </c>
      <c r="B5" s="18" t="s">
        <v>530</v>
      </c>
      <c r="C5" s="18" t="s">
        <v>530</v>
      </c>
      <c r="D5" s="18" t="s">
        <v>530</v>
      </c>
      <c r="E5" s="18" t="s">
        <v>530</v>
      </c>
      <c r="F5" s="18" t="s">
        <v>530</v>
      </c>
      <c r="G5" s="18" t="s">
        <v>530</v>
      </c>
      <c r="H5" s="18" t="s">
        <v>530</v>
      </c>
      <c r="I5" s="18" t="s">
        <v>530</v>
      </c>
      <c r="J5" s="5"/>
    </row>
    <row r="6" spans="1:12" ht="18" customHeight="1">
      <c r="A6" s="25" t="s">
        <v>872</v>
      </c>
      <c r="B6" s="18" t="s">
        <v>531</v>
      </c>
      <c r="C6" s="26">
        <f>'[3]19)资产负债预算表（一）'!C6+'[4]20)资产负债预算表（一）'!C6+'[5]20)资产负债预算表（一）'!C6</f>
        <v>51339531.38</v>
      </c>
      <c r="D6" s="26">
        <f>'[3]19)资产负债预算表（一）'!D6+'[4]20)资产负债预算表（一）'!D6+'[5]20)资产负债预算表（一）'!D6</f>
        <v>52838937.21999999</v>
      </c>
      <c r="E6" s="26">
        <f>'[3]19)资产负债预算表（一）'!E6+'[4]20)资产负债预算表（一）'!E6+'[5]20)资产负债预算表（一）'!E6</f>
        <v>54043231.472799994</v>
      </c>
      <c r="F6" s="26">
        <f>'24)资金预算表总表'!F46</f>
        <v>53612802.42983009</v>
      </c>
      <c r="G6" s="26">
        <f>'24)资金预算表总表'!G46</f>
        <v>53714627.439108916</v>
      </c>
      <c r="H6" s="26">
        <f>'24)资金预算表总表'!H46</f>
        <v>54563358.362338565</v>
      </c>
      <c r="I6" s="26">
        <f>'24)资金预算表总表'!I46</f>
        <v>57205924.86165112</v>
      </c>
      <c r="J6" s="5"/>
      <c r="L6">
        <f>'24)资金预算表总表'!D46</f>
        <v>54043231.472799994</v>
      </c>
    </row>
    <row r="7" spans="1:10" ht="18" customHeight="1">
      <c r="A7" s="25" t="s">
        <v>873</v>
      </c>
      <c r="B7" s="18" t="s">
        <v>532</v>
      </c>
      <c r="C7" s="26">
        <f>'[3]19)资产负债预算表（一）'!C7+'[4]20)资产负债预算表（一）'!C7+'[5]20)资产负债预算表（一）'!C7</f>
        <v>0</v>
      </c>
      <c r="D7" s="26">
        <f>'[3]19)资产负债预算表（一）'!D7+'[4]20)资产负债预算表（一）'!D7+'[5]20)资产负债预算表（一）'!D7</f>
        <v>0</v>
      </c>
      <c r="E7" s="26">
        <f>'[3]19)资产负债预算表（一）'!E7+'[4]20)资产负债预算表（一）'!E7+'[5]20)资产负债预算表（一）'!E7</f>
        <v>0</v>
      </c>
      <c r="F7" s="21">
        <f>'[3]19)资产负债预算表（一）'!F7+'[4]20)资产负债预算表（一）'!F7+'[5]20)资产负债预算表（一）'!F7</f>
        <v>0</v>
      </c>
      <c r="G7" s="21">
        <f>'[3]19)资产负债预算表（一）'!G7+'[4]20)资产负债预算表（一）'!G7+'[5]20)资产负债预算表（一）'!G7</f>
        <v>0</v>
      </c>
      <c r="H7" s="21">
        <f>'[3]19)资产负债预算表（一）'!H7+'[4]20)资产负债预算表（一）'!H7+'[5]20)资产负债预算表（一）'!H7</f>
        <v>0</v>
      </c>
      <c r="I7" s="21">
        <f>'[3]19)资产负债预算表（一）'!I7+'[4]20)资产负债预算表（一）'!I7+'[5]20)资产负债预算表（一）'!I7</f>
        <v>0</v>
      </c>
      <c r="J7" s="5"/>
    </row>
    <row r="8" spans="1:10" ht="18" customHeight="1">
      <c r="A8" s="25" t="s">
        <v>874</v>
      </c>
      <c r="B8" s="18" t="s">
        <v>533</v>
      </c>
      <c r="C8" s="26">
        <f>'[3]19)资产负债预算表（一）'!C8+'[4]20)资产负债预算表（一）'!C8+'[5]20)资产负债预算表（一）'!C8</f>
        <v>0</v>
      </c>
      <c r="D8" s="26">
        <f>'[3]19)资产负债预算表（一）'!D8+'[4]20)资产负债预算表（一）'!D8+'[5]20)资产负债预算表（一）'!D8</f>
        <v>0</v>
      </c>
      <c r="E8" s="26">
        <f>'[3]19)资产负债预算表（一）'!E8+'[4]20)资产负债预算表（一）'!E8+'[5]20)资产负债预算表（一）'!E8</f>
        <v>0</v>
      </c>
      <c r="F8" s="21">
        <f>'[3]19)资产负债预算表（一）'!F8+'[4]20)资产负债预算表（一）'!F8+'[5]20)资产负债预算表（一）'!F8</f>
        <v>0</v>
      </c>
      <c r="G8" s="21">
        <f>'[3]19)资产负债预算表（一）'!G8+'[4]20)资产负债预算表（一）'!G8+'[5]20)资产负债预算表（一）'!G8</f>
        <v>0</v>
      </c>
      <c r="H8" s="21">
        <f>'[3]19)资产负债预算表（一）'!H8+'[4]20)资产负债预算表（一）'!H8+'[5]20)资产负债预算表（一）'!H8</f>
        <v>0</v>
      </c>
      <c r="I8" s="21">
        <f>'[3]19)资产负债预算表（一）'!I8+'[4]20)资产负债预算表（一）'!I8+'[5]20)资产负债预算表（一）'!I8</f>
        <v>0</v>
      </c>
      <c r="J8" s="5"/>
    </row>
    <row r="9" spans="1:10" ht="18" customHeight="1">
      <c r="A9" s="25" t="s">
        <v>875</v>
      </c>
      <c r="B9" s="18" t="s">
        <v>534</v>
      </c>
      <c r="C9" s="26">
        <f>'[3]19)资产负债预算表（一）'!C9+'[4]20)资产负债预算表（一）'!C9+'[5]20)资产负债预算表（一）'!C9</f>
        <v>8682821.35</v>
      </c>
      <c r="D9" s="26">
        <f>'[3]19)资产负债预算表（一）'!D9+'[4]20)资产负债预算表（一）'!D9+'[5]20)资产负债预算表（一）'!D9-2000000</f>
        <v>6079849.67</v>
      </c>
      <c r="E9" s="26">
        <f>'[3]19)资产负债预算表（一）'!E9+'[4]20)资产负债预算表（一）'!E9+'[5]20)资产负债预算表（一）'!E9</f>
        <v>7276530.560000001</v>
      </c>
      <c r="F9" s="21">
        <f>'[3]19)资产负债预算表（一）'!F9+'[4]20)资产负债预算表（一）'!F9+'[5]20)资产负债预算表（一）'!F9</f>
        <v>6409663.218000002</v>
      </c>
      <c r="G9" s="21">
        <f>'[3]19)资产负债预算表（一）'!G9+'[4]20)资产负债预算表（一）'!G9+'[5]20)资产负债预算表（一）'!G9</f>
        <v>6250163.736000001</v>
      </c>
      <c r="H9" s="21">
        <f>'[3]19)资产负债预算表（一）'!H9+'[4]20)资产负债预算表（一）'!H9+'[5]20)资产负债预算表（一）'!H9</f>
        <v>6090664.2540000025</v>
      </c>
      <c r="I9" s="21">
        <f>'[3]19)资产负债预算表（一）'!I9+'[4]20)资产负债预算表（一）'!I9+'[5]20)资产负债预算表（一）'!I9</f>
        <v>5930146.690200003</v>
      </c>
      <c r="J9" s="5"/>
    </row>
    <row r="10" spans="1:10" ht="18" customHeight="1">
      <c r="A10" s="25" t="s">
        <v>876</v>
      </c>
      <c r="B10" s="18" t="s">
        <v>535</v>
      </c>
      <c r="C10" s="26">
        <f>'[3]19)资产负债预算表（一）'!C10+'[4]20)资产负债预算表（一）'!C10+'[5]20)资产负债预算表（一）'!C10</f>
        <v>48008.05</v>
      </c>
      <c r="D10" s="26">
        <f>'[3]19)资产负债预算表（一）'!D10+'[4]20)资产负债预算表（一）'!D10+'[5]20)资产负债预算表（一）'!D10</f>
        <v>107963.11</v>
      </c>
      <c r="E10" s="26">
        <f>'[3]19)资产负债预算表（一）'!E10+'[4]20)资产负债预算表（一）'!E10+'[5]20)资产负债预算表（一）'!E10</f>
        <v>94863.11</v>
      </c>
      <c r="F10" s="21">
        <f>'[3]19)资产负债预算表（一）'!F10+'[4]20)资产负债预算表（一）'!F10+'[5]20)资产负债预算表（一）'!F10</f>
        <v>0</v>
      </c>
      <c r="G10" s="21">
        <f>'[3]19)资产负债预算表（一）'!G10+'[4]20)资产负债预算表（一）'!G10+'[5]20)资产负债预算表（一）'!G10</f>
        <v>0</v>
      </c>
      <c r="H10" s="21">
        <f>'[3]19)资产负债预算表（一）'!H10+'[4]20)资产负债预算表（一）'!H10+'[5]20)资产负债预算表（一）'!H10</f>
        <v>0</v>
      </c>
      <c r="I10" s="21">
        <f>'[3]19)资产负债预算表（一）'!I10+'[4]20)资产负债预算表（一）'!I10+'[5]20)资产负债预算表（一）'!I10</f>
        <v>0</v>
      </c>
      <c r="J10" s="5"/>
    </row>
    <row r="11" spans="1:10" ht="18" customHeight="1">
      <c r="A11" s="25" t="s">
        <v>877</v>
      </c>
      <c r="B11" s="18" t="s">
        <v>536</v>
      </c>
      <c r="C11" s="26">
        <f>'[3]19)资产负债预算表（一）'!C11+'[4]20)资产负债预算表（一）'!C11+'[5]20)资产负债预算表（一）'!C11</f>
        <v>0</v>
      </c>
      <c r="D11" s="26">
        <f>'[3]19)资产负债预算表（一）'!D11+'[4]20)资产负债预算表（一）'!D11+'[5]20)资产负债预算表（一）'!D11</f>
        <v>0</v>
      </c>
      <c r="E11" s="26">
        <f>'[3]19)资产负债预算表（一）'!E11+'[4]20)资产负债预算表（一）'!E11+'[5]20)资产负债预算表（一）'!E11</f>
        <v>0</v>
      </c>
      <c r="F11" s="21">
        <f>'[3]19)资产负债预算表（一）'!F11+'[4]20)资产负债预算表（一）'!F11+'[5]20)资产负债预算表（一）'!F11</f>
        <v>0</v>
      </c>
      <c r="G11" s="21">
        <f>'[3]19)资产负债预算表（一）'!G11+'[4]20)资产负债预算表（一）'!G11+'[5]20)资产负债预算表（一）'!G11</f>
        <v>0</v>
      </c>
      <c r="H11" s="21">
        <f>'[3]19)资产负债预算表（一）'!H11+'[4]20)资产负债预算表（一）'!H11+'[5]20)资产负债预算表（一）'!H11</f>
        <v>0</v>
      </c>
      <c r="I11" s="21">
        <f>'[3]19)资产负债预算表（一）'!I11+'[4]20)资产负债预算表（一）'!I11+'[5]20)资产负债预算表（一）'!I11</f>
        <v>0</v>
      </c>
      <c r="J11" s="5"/>
    </row>
    <row r="12" spans="1:10" ht="18" customHeight="1">
      <c r="A12" s="25" t="s">
        <v>878</v>
      </c>
      <c r="B12" s="18" t="s">
        <v>537</v>
      </c>
      <c r="C12" s="26">
        <f>'[3]19)资产负债预算表（一）'!C12+'[4]20)资产负债预算表（一）'!C12+'[5]20)资产负债预算表（一）'!C12</f>
        <v>0</v>
      </c>
      <c r="D12" s="26">
        <f>'[3]19)资产负债预算表（一）'!D12+'[4]20)资产负债预算表（一）'!D12+'[5]20)资产负债预算表（一）'!D12</f>
        <v>0</v>
      </c>
      <c r="E12" s="26">
        <f>'[3]19)资产负债预算表（一）'!E12+'[4]20)资产负债预算表（一）'!E12+'[5]20)资产负债预算表（一）'!E12</f>
        <v>0</v>
      </c>
      <c r="F12" s="21">
        <f>'[3]19)资产负债预算表（一）'!F12+'[4]20)资产负债预算表（一）'!F12+'[5]20)资产负债预算表（一）'!F12</f>
        <v>0</v>
      </c>
      <c r="G12" s="21">
        <f>'[3]19)资产负债预算表（一）'!G12+'[4]20)资产负债预算表（一）'!G12+'[5]20)资产负债预算表（一）'!G12</f>
        <v>0</v>
      </c>
      <c r="H12" s="21">
        <f>'[3]19)资产负债预算表（一）'!H12+'[4]20)资产负债预算表（一）'!H12+'[5]20)资产负债预算表（一）'!H12</f>
        <v>0</v>
      </c>
      <c r="I12" s="21">
        <f>'[3]19)资产负债预算表（一）'!I12+'[4]20)资产负债预算表（一）'!I12+'[5]20)资产负债预算表（一）'!I12</f>
        <v>0</v>
      </c>
      <c r="J12" s="5"/>
    </row>
    <row r="13" spans="1:10" ht="18" customHeight="1">
      <c r="A13" s="25" t="s">
        <v>879</v>
      </c>
      <c r="B13" s="18" t="s">
        <v>538</v>
      </c>
      <c r="C13" s="26">
        <f>'[3]19)资产负债预算表（一）'!C13+'[4]20)资产负债预算表（一）'!C13+'[5]20)资产负债预算表（一）'!C13-4438451.53</f>
        <v>1368724.2399999993</v>
      </c>
      <c r="D13" s="26">
        <f>'[3]19)资产负债预算表（一）'!D13+'[4]20)资产负债预算表（一）'!D13+'[5]20)资产负债预算表（一）'!D13</f>
        <v>4452145.84</v>
      </c>
      <c r="E13" s="26">
        <f>'[3]19)资产负债预算表（一）'!E13+'[4]20)资产负债预算表（一）'!E13+'[5]20)资产负债预算表（一）'!E13-1596734.22</f>
        <v>1655411.6199999994</v>
      </c>
      <c r="F13" s="21">
        <v>0</v>
      </c>
      <c r="G13" s="21">
        <f>'[3]19)资产负债预算表（一）'!G13+'[4]20)资产负债预算表（一）'!G13+'[5]20)资产负债预算表（一）'!G13</f>
        <v>0</v>
      </c>
      <c r="H13" s="21">
        <f>'[3]19)资产负债预算表（一）'!H13+'[4]20)资产负债预算表（一）'!H13+'[5]20)资产负债预算表（一）'!H13</f>
        <v>0</v>
      </c>
      <c r="I13" s="21">
        <f>'[3]19)资产负债预算表（一）'!I13+'[4]20)资产负债预算表（一）'!I13+'[5]20)资产负债预算表（一）'!I13</f>
        <v>0</v>
      </c>
      <c r="J13" s="5"/>
    </row>
    <row r="14" spans="1:10" ht="18" customHeight="1">
      <c r="A14" s="25" t="s">
        <v>880</v>
      </c>
      <c r="B14" s="18" t="s">
        <v>539</v>
      </c>
      <c r="C14" s="26">
        <f>'[3]19)资产负债预算表（一）'!C14+'[4]20)资产负债预算表（一）'!C14+'[5]20)资产负债预算表（一）'!C14</f>
        <v>291836.73</v>
      </c>
      <c r="D14" s="26">
        <f>'[3]19)资产负债预算表（一）'!D14+'[4]20)资产负债预算表（一）'!D14+'[5]20)资产负债预算表（一）'!D14</f>
        <v>371205.74</v>
      </c>
      <c r="E14" s="26">
        <f>'[3]19)资产负债预算表（一）'!E14+'[4]20)资产负债预算表（一）'!E14+'[5]20)资产负债预算表（一）'!E14</f>
        <v>443591.99</v>
      </c>
      <c r="F14" s="21">
        <f>'[3]19)资产负债预算表（一）'!F14+'[4]20)资产负债预算表（一）'!F14+'[5]20)资产负债预算表（一）'!F14</f>
        <v>391620.0199999999</v>
      </c>
      <c r="G14" s="21">
        <f>'[3]19)资产负债预算表（一）'!G14+'[4]20)资产负债预算表（一）'!G14+'[5]20)资产负债预算表（一）'!G14</f>
        <v>270547.9599999999</v>
      </c>
      <c r="H14" s="21">
        <f>'[3]19)资产负债预算表（一）'!H14+'[4]20)资产负债预算表（一）'!H14+'[5]20)资产负债预算表（一）'!H14</f>
        <v>479379.14704999985</v>
      </c>
      <c r="I14" s="21">
        <f>'[3]19)资产负债预算表（一）'!I14+'[4]20)资产负债预算表（一）'!I14+'[5]20)资产负债预算表（一）'!I14</f>
        <v>1132031.104</v>
      </c>
      <c r="J14" s="5"/>
    </row>
    <row r="15" spans="1:10" ht="18" customHeight="1">
      <c r="A15" s="25" t="s">
        <v>881</v>
      </c>
      <c r="B15" s="18" t="s">
        <v>540</v>
      </c>
      <c r="C15" s="26">
        <f>'[3]19)资产负债预算表（一）'!C15+'[4]20)资产负债预算表（一）'!C15+'[5]20)资产负债预算表（一）'!C15</f>
        <v>0</v>
      </c>
      <c r="D15" s="26">
        <f>'[3]19)资产负债预算表（一）'!D15+'[4]20)资产负债预算表（一）'!D15+'[5]20)资产负债预算表（一）'!D15</f>
        <v>0</v>
      </c>
      <c r="E15" s="26">
        <f>'[3]19)资产负债预算表（一）'!E15+'[4]20)资产负债预算表（一）'!E15+'[5]20)资产负债预算表（一）'!E15</f>
        <v>0</v>
      </c>
      <c r="F15" s="21">
        <f>'[3]19)资产负债预算表（一）'!F15+'[4]20)资产负债预算表（一）'!F15+'[5]20)资产负债预算表（一）'!F15</f>
        <v>0</v>
      </c>
      <c r="G15" s="21">
        <f>'[3]19)资产负债预算表（一）'!G15+'[4]20)资产负债预算表（一）'!G15+'[5]20)资产负债预算表（一）'!G15</f>
        <v>0</v>
      </c>
      <c r="H15" s="21">
        <f>'[3]19)资产负债预算表（一）'!H15+'[4]20)资产负债预算表（一）'!H15+'[5]20)资产负债预算表（一）'!H15</f>
        <v>0</v>
      </c>
      <c r="I15" s="21">
        <f>'[3]19)资产负债预算表（一）'!I15+'[4]20)资产负债预算表（一）'!I15+'[5]20)资产负债预算表（一）'!I15</f>
        <v>0</v>
      </c>
      <c r="J15" s="5"/>
    </row>
    <row r="16" spans="1:10" ht="18" customHeight="1">
      <c r="A16" s="25" t="s">
        <v>882</v>
      </c>
      <c r="B16" s="18" t="s">
        <v>541</v>
      </c>
      <c r="C16" s="26">
        <f>'[3]19)资产负债预算表（一）'!C16+'[4]20)资产负债预算表（一）'!C16+'[5]20)资产负债预算表（一）'!C16</f>
        <v>0</v>
      </c>
      <c r="D16" s="26">
        <f>'[3]19)资产负债预算表（一）'!D16+'[4]20)资产负债预算表（一）'!D16+'[5]20)资产负债预算表（一）'!D16</f>
        <v>0</v>
      </c>
      <c r="E16" s="26">
        <f>'[3]19)资产负债预算表（一）'!E16+'[4]20)资产负债预算表（一）'!E16+'[5]20)资产负债预算表（一）'!E16</f>
        <v>0</v>
      </c>
      <c r="F16" s="21">
        <f>'[3]19)资产负债预算表（一）'!F16+'[4]20)资产负债预算表（一）'!F16+'[5]20)资产负债预算表（一）'!F16</f>
        <v>0</v>
      </c>
      <c r="G16" s="21">
        <f>'[3]19)资产负债预算表（一）'!G16+'[4]20)资产负债预算表（一）'!G16+'[5]20)资产负债预算表（一）'!G16</f>
        <v>0</v>
      </c>
      <c r="H16" s="21">
        <f>'[3]19)资产负债预算表（一）'!H16+'[4]20)资产负债预算表（一）'!H16+'[5]20)资产负债预算表（一）'!H16</f>
        <v>0</v>
      </c>
      <c r="I16" s="21">
        <f>'[3]19)资产负债预算表（一）'!I16+'[4]20)资产负债预算表（一）'!I16+'[5]20)资产负债预算表（一）'!I16</f>
        <v>0</v>
      </c>
      <c r="J16" s="5"/>
    </row>
    <row r="17" spans="1:10" ht="18" customHeight="1">
      <c r="A17" s="25" t="s">
        <v>883</v>
      </c>
      <c r="B17" s="18" t="s">
        <v>542</v>
      </c>
      <c r="C17" s="11">
        <f>SUM(C6:C16)</f>
        <v>61730921.75</v>
      </c>
      <c r="D17" s="11">
        <f>SUM(D6:D16)</f>
        <v>63850101.57999999</v>
      </c>
      <c r="E17" s="11">
        <f aca="true" t="shared" si="0" ref="C17:I17">SUM(E6:E16)</f>
        <v>63513628.752799995</v>
      </c>
      <c r="F17" s="11">
        <f t="shared" si="0"/>
        <v>60414085.667830095</v>
      </c>
      <c r="G17" s="11">
        <f t="shared" si="0"/>
        <v>60235339.13510892</v>
      </c>
      <c r="H17" s="11">
        <f t="shared" si="0"/>
        <v>61133401.76338857</v>
      </c>
      <c r="I17" s="11">
        <f t="shared" si="0"/>
        <v>64268102.655851126</v>
      </c>
      <c r="J17" s="5"/>
    </row>
    <row r="18" spans="1:10" ht="18" customHeight="1">
      <c r="A18" s="25" t="s">
        <v>884</v>
      </c>
      <c r="B18" s="18" t="s">
        <v>530</v>
      </c>
      <c r="C18" s="18" t="s">
        <v>530</v>
      </c>
      <c r="D18" s="18" t="s">
        <v>530</v>
      </c>
      <c r="E18" s="18" t="s">
        <v>530</v>
      </c>
      <c r="F18" s="18" t="s">
        <v>530</v>
      </c>
      <c r="G18" s="18" t="s">
        <v>530</v>
      </c>
      <c r="H18" s="18" t="s">
        <v>530</v>
      </c>
      <c r="I18" s="18" t="s">
        <v>530</v>
      </c>
      <c r="J18" s="5"/>
    </row>
    <row r="19" spans="1:10" ht="18" customHeight="1">
      <c r="A19" s="25" t="s">
        <v>885</v>
      </c>
      <c r="B19" s="18" t="s">
        <v>543</v>
      </c>
      <c r="C19" s="11"/>
      <c r="D19" s="11"/>
      <c r="E19" s="11"/>
      <c r="F19" s="21"/>
      <c r="G19" s="21"/>
      <c r="H19" s="21"/>
      <c r="I19" s="21"/>
      <c r="J19" s="5"/>
    </row>
    <row r="20" spans="1:10" ht="18" customHeight="1">
      <c r="A20" s="25" t="s">
        <v>886</v>
      </c>
      <c r="B20" s="18" t="s">
        <v>544</v>
      </c>
      <c r="C20" s="11"/>
      <c r="D20" s="11"/>
      <c r="E20" s="11"/>
      <c r="F20" s="21"/>
      <c r="G20" s="21"/>
      <c r="H20" s="21"/>
      <c r="I20" s="21"/>
      <c r="J20" s="5"/>
    </row>
    <row r="21" spans="1:10" ht="18" customHeight="1">
      <c r="A21" s="25" t="s">
        <v>887</v>
      </c>
      <c r="B21" s="18" t="s">
        <v>589</v>
      </c>
      <c r="C21" s="11"/>
      <c r="D21" s="11"/>
      <c r="E21" s="11"/>
      <c r="F21" s="21"/>
      <c r="G21" s="21"/>
      <c r="H21" s="21"/>
      <c r="I21" s="21"/>
      <c r="J21" s="5"/>
    </row>
    <row r="22" spans="1:10" ht="18" customHeight="1">
      <c r="A22" s="25" t="s">
        <v>888</v>
      </c>
      <c r="B22" s="18" t="s">
        <v>590</v>
      </c>
      <c r="C22" s="26"/>
      <c r="D22" s="26"/>
      <c r="E22" s="26"/>
      <c r="F22" s="26"/>
      <c r="G22" s="26"/>
      <c r="H22" s="26"/>
      <c r="I22" s="26"/>
      <c r="J22" s="5"/>
    </row>
    <row r="23" spans="1:10" ht="18" customHeight="1">
      <c r="A23" s="25" t="s">
        <v>889</v>
      </c>
      <c r="B23" s="18" t="s">
        <v>591</v>
      </c>
      <c r="C23" s="11">
        <v>0</v>
      </c>
      <c r="D23" s="11"/>
      <c r="E23" s="11"/>
      <c r="F23" s="21"/>
      <c r="G23" s="21"/>
      <c r="H23" s="21"/>
      <c r="I23" s="21"/>
      <c r="J23" s="5"/>
    </row>
    <row r="24" spans="1:10" ht="18" customHeight="1">
      <c r="A24" s="25" t="s">
        <v>890</v>
      </c>
      <c r="B24" s="18" t="s">
        <v>592</v>
      </c>
      <c r="C24" s="26">
        <f>'[3]19)资产负债预算表（一）'!C24+'[4]20)资产负债预算表（一）'!C24+'[5]20)资产负债预算表（一）'!C24</f>
        <v>1927848.7099999997</v>
      </c>
      <c r="D24" s="26">
        <f>'[3]19)资产负债预算表（一）'!D24+'[4]20)资产负债预算表（一）'!D24+'[5]20)资产负债预算表（一）'!D24</f>
        <v>2212142.31</v>
      </c>
      <c r="E24" s="26">
        <f>'[3]19)资产负债预算表（一）'!E24+'[4]20)资产负债预算表（一）'!E24+'[5]20)资产负债预算表（一）'!E24</f>
        <v>2234278.31</v>
      </c>
      <c r="F24" s="26">
        <f>'[3]19)资产负债预算表（一）'!F24+'[4]20)资产负债预算表（一）'!F24+'[5]20)资产负债预算表（一）'!F24</f>
        <v>2446068.31</v>
      </c>
      <c r="G24" s="26">
        <f>'[3]19)资产负债预算表（一）'!G24+'[4]20)资产负债预算表（一）'!G24+'[5]20)资产负债预算表（一）'!G24</f>
        <v>2647756.3099999996</v>
      </c>
      <c r="H24" s="26">
        <f>'[3]19)资产负债预算表（一）'!H24+'[4]20)资产负债预算表（一）'!H24+'[5]20)资产负债预算表（一）'!H24</f>
        <v>2776006.3099999996</v>
      </c>
      <c r="I24" s="26">
        <f>'[3]19)资产负债预算表（一）'!I24+'[4]20)资产负债预算表（一）'!I24+'[5]20)资产负债预算表（一）'!I24</f>
        <v>2826006.3099999996</v>
      </c>
      <c r="J24" s="5"/>
    </row>
    <row r="25" spans="1:10" ht="18" customHeight="1">
      <c r="A25" s="25" t="s">
        <v>891</v>
      </c>
      <c r="B25" s="18" t="s">
        <v>593</v>
      </c>
      <c r="C25" s="26">
        <f>'[3]19)资产负债预算表（一）'!C25+'[4]20)资产负债预算表（一）'!C25+'[5]20)资产负债预算表（一）'!C25</f>
        <v>1021173.9400000001</v>
      </c>
      <c r="D25" s="26">
        <f>'[3]19)资产负债预算表（一）'!D25+'[4]20)资产负债预算表（一）'!D25+'[5]20)资产负债预算表（一）'!D25</f>
        <v>1363311.43</v>
      </c>
      <c r="E25" s="26">
        <f>'[3]19)资产负债预算表（一）'!E25+'[4]20)资产负债预算表（一）'!E25+'[5]20)资产负债预算表（一）'!E25</f>
        <v>1408849.32</v>
      </c>
      <c r="F25" s="26">
        <f>'[3]19)资产负债预算表（一）'!F25+'[4]20)资产负债预算表（一）'!F25+'[5]20)资产负债预算表（一）'!F25</f>
        <v>1511636.3274537814</v>
      </c>
      <c r="G25" s="26">
        <f>'[3]19)资产负债预算表（一）'!G25+'[4]20)资产负债预算表（一）'!G25+'[5]20)资产负债预算表（一）'!G25</f>
        <v>1607391.6591204484</v>
      </c>
      <c r="H25" s="26">
        <f>'[3]19)资产负债预算表（一）'!H25+'[4]20)资产负债预算表（一）'!H25+'[5]20)资产负债预算表（一）'!H25</f>
        <v>1709904.3591204484</v>
      </c>
      <c r="I25" s="26">
        <f>'[3]19)资产负债预算表（一）'!I25+'[4]20)资产负债预算表（一）'!I25+'[5]20)资产负债预算表（一）'!I25</f>
        <v>1806402.9491204484</v>
      </c>
      <c r="J25" s="5"/>
    </row>
    <row r="26" spans="1:10" ht="18" customHeight="1">
      <c r="A26" s="25" t="s">
        <v>892</v>
      </c>
      <c r="B26" s="18" t="s">
        <v>594</v>
      </c>
      <c r="C26" s="11">
        <f>C24-C25</f>
        <v>906674.7699999997</v>
      </c>
      <c r="D26" s="11">
        <f>D24-D25</f>
        <v>848830.8800000001</v>
      </c>
      <c r="E26" s="11">
        <f aca="true" t="shared" si="1" ref="C26:I26">E24-E25</f>
        <v>825428.99</v>
      </c>
      <c r="F26" s="11">
        <f t="shared" si="1"/>
        <v>934431.9825462187</v>
      </c>
      <c r="G26" s="11">
        <f t="shared" si="1"/>
        <v>1040364.6508795512</v>
      </c>
      <c r="H26" s="11">
        <f t="shared" si="1"/>
        <v>1066101.9508795512</v>
      </c>
      <c r="I26" s="11">
        <f t="shared" si="1"/>
        <v>1019603.3608795512</v>
      </c>
      <c r="J26" s="5"/>
    </row>
    <row r="27" spans="1:10" ht="18" customHeight="1">
      <c r="A27" s="25" t="s">
        <v>893</v>
      </c>
      <c r="B27" s="18" t="s">
        <v>894</v>
      </c>
      <c r="C27" s="21"/>
      <c r="D27" s="21">
        <v>0</v>
      </c>
      <c r="E27" s="21"/>
      <c r="F27" s="21"/>
      <c r="G27" s="21"/>
      <c r="H27" s="21"/>
      <c r="I27" s="21"/>
      <c r="J27" s="5"/>
    </row>
    <row r="28" spans="1:10" ht="18" customHeight="1">
      <c r="A28" s="25" t="s">
        <v>895</v>
      </c>
      <c r="B28" s="18" t="s">
        <v>896</v>
      </c>
      <c r="C28" s="11">
        <f>C26-C27</f>
        <v>906674.7699999997</v>
      </c>
      <c r="D28" s="11">
        <f>D26-D27</f>
        <v>848830.8800000001</v>
      </c>
      <c r="E28" s="11">
        <f aca="true" t="shared" si="2" ref="C28:I28">E26-E27</f>
        <v>825428.99</v>
      </c>
      <c r="F28" s="11">
        <f t="shared" si="2"/>
        <v>934431.9825462187</v>
      </c>
      <c r="G28" s="11">
        <f t="shared" si="2"/>
        <v>1040364.6508795512</v>
      </c>
      <c r="H28" s="11">
        <f t="shared" si="2"/>
        <v>1066101.9508795512</v>
      </c>
      <c r="I28" s="11">
        <f t="shared" si="2"/>
        <v>1019603.3608795512</v>
      </c>
      <c r="J28" s="5"/>
    </row>
    <row r="29" spans="1:10" ht="18" customHeight="1">
      <c r="A29" s="25" t="s">
        <v>897</v>
      </c>
      <c r="B29" s="18" t="s">
        <v>898</v>
      </c>
      <c r="C29" s="26">
        <f>'[3]19)资产负债预算表（一）'!C29+'[4]20)资产负债预算表（一）'!C29+'[5]20)资产负债预算表（一）'!C29</f>
        <v>3361130.98</v>
      </c>
      <c r="D29" s="26">
        <f>'[3]19)资产负债预算表（一）'!D29+'[4]20)资产负债预算表（一）'!D29+'[5]20)资产负债预算表（一）'!D29</f>
        <v>3805876.51</v>
      </c>
      <c r="E29" s="26">
        <f>'[3]19)资产负债预算表（一）'!E29+'[4]20)资产负债预算表（一）'!E29+'[5]20)资产负债预算表（一）'!E29</f>
        <v>3816607.73</v>
      </c>
      <c r="F29" s="26">
        <f>'[3]19)资产负债预算表（一）'!F29+'[4]20)资产负债预算表（一）'!F29+'[5]20)资产负债预算表（一）'!F29</f>
        <v>3776451.98</v>
      </c>
      <c r="G29" s="26">
        <f>'[3]19)资产负债预算表（一）'!G29+'[4]20)资产负债预算表（一）'!G29+'[5]20)资产负债预算表（一）'!G29</f>
        <v>3776451.98</v>
      </c>
      <c r="H29" s="26">
        <f>'[3]19)资产负债预算表（一）'!H29+'[4]20)资产负债预算表（一）'!H29+'[5]20)资产负债预算表（一）'!H29</f>
        <v>3776451.98</v>
      </c>
      <c r="I29" s="26">
        <f>'[3]19)资产负债预算表（一）'!I29+'[4]20)资产负债预算表（一）'!I29+'[5]20)资产负债预算表（一）'!I29</f>
        <v>3776451.98</v>
      </c>
      <c r="J29" s="5"/>
    </row>
    <row r="30" spans="1:10" ht="18" customHeight="1">
      <c r="A30" s="25" t="s">
        <v>899</v>
      </c>
      <c r="B30" s="18" t="s">
        <v>900</v>
      </c>
      <c r="C30" s="26">
        <f>'[3]19)资产负债预算表（一）'!C30+'[4]20)资产负债预算表（一）'!C30+'[5]20)资产负债预算表（一）'!C30</f>
        <v>0</v>
      </c>
      <c r="D30" s="26">
        <f>'[3]19)资产负债预算表（一）'!D30+'[4]20)资产负债预算表（一）'!D30+'[5]20)资产负债预算表（一）'!D30</f>
        <v>0</v>
      </c>
      <c r="E30" s="26">
        <f>'[3]19)资产负债预算表（一）'!E30+'[4]20)资产负债预算表（一）'!E30+'[5]20)资产负债预算表（一）'!E30</f>
        <v>0</v>
      </c>
      <c r="F30" s="26">
        <f>'[3]19)资产负债预算表（一）'!F30+'[4]20)资产负债预算表（一）'!F30+'[5]20)资产负债预算表（一）'!F30</f>
        <v>0</v>
      </c>
      <c r="G30" s="26">
        <f>'[3]19)资产负债预算表（一）'!G30+'[4]20)资产负债预算表（一）'!G30+'[5]20)资产负债预算表（一）'!G30</f>
        <v>0</v>
      </c>
      <c r="H30" s="26">
        <f>'[3]19)资产负债预算表（一）'!H30+'[4]20)资产负债预算表（一）'!H30+'[5]20)资产负债预算表（一）'!H30</f>
        <v>0</v>
      </c>
      <c r="I30" s="26">
        <f>'[3]19)资产负债预算表（一）'!I30+'[4]20)资产负债预算表（一）'!I30+'[5]20)资产负债预算表（一）'!I30</f>
        <v>0</v>
      </c>
      <c r="J30" s="5"/>
    </row>
    <row r="31" spans="1:10" ht="18" customHeight="1">
      <c r="A31" s="25" t="s">
        <v>901</v>
      </c>
      <c r="B31" s="18" t="s">
        <v>902</v>
      </c>
      <c r="C31" s="26">
        <f>'[3]19)资产负债预算表（一）'!C31+'[4]20)资产负债预算表（一）'!C31+'[5]20)资产负债预算表（一）'!C31</f>
        <v>0</v>
      </c>
      <c r="D31" s="26">
        <f>'[3]19)资产负债预算表（一）'!D31+'[4]20)资产负债预算表（一）'!D31+'[5]20)资产负债预算表（一）'!D31</f>
        <v>0</v>
      </c>
      <c r="E31" s="26">
        <f>'[3]19)资产负债预算表（一）'!E31+'[4]20)资产负债预算表（一）'!E31+'[5]20)资产负债预算表（一）'!E31</f>
        <v>0</v>
      </c>
      <c r="F31" s="26">
        <f>'[3]19)资产负债预算表（一）'!F31+'[4]20)资产负债预算表（一）'!F31+'[5]20)资产负债预算表（一）'!F31</f>
        <v>0</v>
      </c>
      <c r="G31" s="26">
        <f>'[3]19)资产负债预算表（一）'!G31+'[4]20)资产负债预算表（一）'!G31+'[5]20)资产负债预算表（一）'!G31</f>
        <v>0</v>
      </c>
      <c r="H31" s="26">
        <f>'[3]19)资产负债预算表（一）'!H31+'[4]20)资产负债预算表（一）'!H31+'[5]20)资产负债预算表（一）'!H31</f>
        <v>0</v>
      </c>
      <c r="I31" s="26">
        <f>'[3]19)资产负债预算表（一）'!I31+'[4]20)资产负债预算表（一）'!I31+'[5]20)资产负债预算表（一）'!I31</f>
        <v>0</v>
      </c>
      <c r="J31" s="5"/>
    </row>
    <row r="32" spans="1:10" ht="18" customHeight="1">
      <c r="A32" s="25" t="s">
        <v>903</v>
      </c>
      <c r="B32" s="18" t="s">
        <v>904</v>
      </c>
      <c r="C32" s="26">
        <f>'[3]19)资产负债预算表（一）'!C32+'[4]20)资产负债预算表（一）'!C32+'[5]20)资产负债预算表（一）'!C32</f>
        <v>201894.43</v>
      </c>
      <c r="D32" s="26">
        <f>'[3]19)资产负债预算表（一）'!D32+'[4]20)资产负债预算表（一）'!D32+'[5]20)资产负债预算表（一）'!D32</f>
        <v>632957.27</v>
      </c>
      <c r="E32" s="26">
        <f>'[3]19)资产负债预算表（一）'!E32+'[4]20)资产负债预算表（一）'!E32+'[5]20)资产负债预算表（一）'!E32</f>
        <v>742768.56</v>
      </c>
      <c r="F32" s="26">
        <f>'[3]19)资产负债预算表（一）'!F32+'[4]20)资产负债预算表（一）'!F32+'[5]20)资产负债预算表（一）'!F32</f>
        <v>913805.0950000001</v>
      </c>
      <c r="G32" s="26">
        <f>'[3]19)资产负债预算表（一）'!G32+'[4]20)资产负债预算表（一）'!G32+'[5]20)资产负债预算表（一）'!G32</f>
        <v>1006891.6300000001</v>
      </c>
      <c r="H32" s="26">
        <f>'[3]19)资产负债预算表（一）'!H32+'[4]20)资产负债预算表（一）'!H32+'[5]20)资产负债预算表（一）'!H32</f>
        <v>1099328.165</v>
      </c>
      <c r="I32" s="26">
        <f>'[3]19)资产负债预算表（一）'!I32+'[4]20)资产负债预算表（一）'!I32+'[5]20)资产负债预算表（一）'!I32</f>
        <v>1233950.3682</v>
      </c>
      <c r="J32" s="5"/>
    </row>
    <row r="33" spans="1:10" ht="18" customHeight="1">
      <c r="A33" s="25" t="s">
        <v>905</v>
      </c>
      <c r="B33" s="18" t="s">
        <v>906</v>
      </c>
      <c r="C33" s="26">
        <f>'[3]19)资产负债预算表（一）'!C33+'[4]20)资产负债预算表（一）'!C33+'[5]20)资产负债预算表（一）'!C33</f>
        <v>0</v>
      </c>
      <c r="D33" s="26">
        <f>'[3]19)资产负债预算表（一）'!D33+'[4]20)资产负债预算表（一）'!D33+'[5]20)资产负债预算表（一）'!D33</f>
        <v>0</v>
      </c>
      <c r="E33" s="26">
        <f>'[3]19)资产负债预算表（一）'!E33+'[4]20)资产负债预算表（一）'!E33+'[5]20)资产负债预算表（一）'!E33</f>
        <v>0</v>
      </c>
      <c r="F33" s="26">
        <f>'[3]19)资产负债预算表（一）'!F33+'[4]20)资产负债预算表（一）'!F33+'[5]20)资产负债预算表（一）'!F33</f>
        <v>0</v>
      </c>
      <c r="G33" s="26">
        <f>'[3]19)资产负债预算表（一）'!G33+'[4]20)资产负债预算表（一）'!G33+'[5]20)资产负债预算表（一）'!G33</f>
        <v>0</v>
      </c>
      <c r="H33" s="26">
        <f>'[3]19)资产负债预算表（一）'!H33+'[4]20)资产负债预算表（一）'!H33+'[5]20)资产负债预算表（一）'!H33</f>
        <v>0</v>
      </c>
      <c r="I33" s="26">
        <f>'[3]19)资产负债预算表（一）'!I33+'[4]20)资产负债预算表（一）'!I33+'[5]20)资产负债预算表（一）'!I33</f>
        <v>0</v>
      </c>
      <c r="J33" s="5"/>
    </row>
    <row r="34" spans="1:10" ht="18" customHeight="1">
      <c r="A34" s="25" t="s">
        <v>907</v>
      </c>
      <c r="B34" s="18" t="s">
        <v>908</v>
      </c>
      <c r="C34" s="26">
        <f>'[3]19)资产负债预算表（一）'!C34+'[4]20)资产负债预算表（一）'!C34+'[5]20)资产负债预算表（一）'!C34</f>
        <v>201894.43</v>
      </c>
      <c r="D34" s="26">
        <f>'[3]19)资产负债预算表（一）'!D34+'[4]20)资产负债预算表（一）'!D34+'[5]20)资产负债预算表（一）'!D34</f>
        <v>632957.27</v>
      </c>
      <c r="E34" s="26">
        <f>'[3]19)资产负债预算表（一）'!E34+'[4]20)资产负债预算表（一）'!E34+'[5]20)资产负债预算表（一）'!E34</f>
        <v>742768.56</v>
      </c>
      <c r="F34" s="26">
        <f>'[3]19)资产负债预算表（一）'!F34+'[4]20)资产负债预算表（一）'!F34+'[5]20)资产负债预算表（一）'!F34</f>
        <v>913805.0950000001</v>
      </c>
      <c r="G34" s="26">
        <f>'[3]19)资产负债预算表（一）'!G34+'[4]20)资产负债预算表（一）'!G34+'[5]20)资产负债预算表（一）'!G34</f>
        <v>1006891.6300000001</v>
      </c>
      <c r="H34" s="26">
        <f>'[3]19)资产负债预算表（一）'!H34+'[4]20)资产负债预算表（一）'!H34+'[5]20)资产负债预算表（一）'!H34</f>
        <v>1099328.165</v>
      </c>
      <c r="I34" s="26">
        <f>'[3]19)资产负债预算表（一）'!I34+'[4]20)资产负债预算表（一）'!I34+'[5]20)资产负债预算表（一）'!I34</f>
        <v>1233950.3682</v>
      </c>
      <c r="J34" s="5"/>
    </row>
    <row r="35" spans="1:10" ht="18" customHeight="1">
      <c r="A35" s="25" t="s">
        <v>909</v>
      </c>
      <c r="B35" s="18" t="s">
        <v>910</v>
      </c>
      <c r="C35" s="26">
        <f>'[3]19)资产负债预算表（一）'!C35+'[4]20)资产负债预算表（一）'!C35+'[5]20)资产负债预算表（一）'!C35</f>
        <v>0</v>
      </c>
      <c r="D35" s="26">
        <f>'[3]19)资产负债预算表（一）'!D35+'[4]20)资产负债预算表（一）'!D35+'[5]20)资产负债预算表（一）'!D35</f>
        <v>0</v>
      </c>
      <c r="E35" s="26">
        <f>'[3]19)资产负债预算表（一）'!E35+'[4]20)资产负债预算表（一）'!E35+'[5]20)资产负债预算表（一）'!E35</f>
        <v>0</v>
      </c>
      <c r="F35" s="26">
        <f>'[3]19)资产负债预算表（一）'!F35+'[4]20)资产负债预算表（一）'!F35+'[5]20)资产负债预算表（一）'!F35</f>
        <v>0</v>
      </c>
      <c r="G35" s="26">
        <f>'[3]19)资产负债预算表（一）'!G35+'[4]20)资产负债预算表（一）'!G35+'[5]20)资产负债预算表（一）'!G35</f>
        <v>0</v>
      </c>
      <c r="H35" s="26">
        <f>'[3]19)资产负债预算表（一）'!H35+'[4]20)资产负债预算表（一）'!H35+'[5]20)资产负债预算表（一）'!H35</f>
        <v>0</v>
      </c>
      <c r="I35" s="26">
        <f>'[3]19)资产负债预算表（一）'!I35+'[4]20)资产负债预算表（一）'!I35+'[5]20)资产负债预算表（一）'!I35</f>
        <v>0</v>
      </c>
      <c r="J35" s="5"/>
    </row>
    <row r="36" spans="1:10" ht="18" customHeight="1">
      <c r="A36" s="25" t="s">
        <v>911</v>
      </c>
      <c r="B36" s="18" t="s">
        <v>912</v>
      </c>
      <c r="C36" s="26">
        <f>'[3]19)资产负债预算表（一）'!C36+'[4]20)资产负债预算表（一）'!C36+'[5]20)资产负债预算表（一）'!C36</f>
        <v>201894.43</v>
      </c>
      <c r="D36" s="26">
        <f>'[3]19)资产负债预算表（一）'!D36+'[4]20)资产负债预算表（一）'!D36+'[5]20)资产负债预算表（一）'!D36</f>
        <v>632957.27</v>
      </c>
      <c r="E36" s="26">
        <f>'[3]19)资产负债预算表（一）'!E36+'[4]20)资产负债预算表（一）'!E36+'[5]20)资产负债预算表（一）'!E36</f>
        <v>742768.56</v>
      </c>
      <c r="F36" s="26">
        <f>'[3]19)资产负债预算表（一）'!F36+'[4]20)资产负债预算表（一）'!F36+'[5]20)资产负债预算表（一）'!F36</f>
        <v>913805.0950000001</v>
      </c>
      <c r="G36" s="26">
        <f>'[3]19)资产负债预算表（一）'!G36+'[4]20)资产负债预算表（一）'!G36+'[5]20)资产负债预算表（一）'!G36</f>
        <v>1006891.6300000001</v>
      </c>
      <c r="H36" s="26">
        <f>'[3]19)资产负债预算表（一）'!H36+'[4]20)资产负债预算表（一）'!H36+'[5]20)资产负债预算表（一）'!H36</f>
        <v>1099328.165</v>
      </c>
      <c r="I36" s="26">
        <f>'[3]19)资产负债预算表（一）'!I36+'[4]20)资产负债预算表（一）'!I36+'[5]20)资产负债预算表（一）'!I36</f>
        <v>1233950.3682</v>
      </c>
      <c r="J36" s="5"/>
    </row>
    <row r="37" spans="1:10" ht="18" customHeight="1">
      <c r="A37" s="25" t="s">
        <v>913</v>
      </c>
      <c r="B37" s="18" t="s">
        <v>914</v>
      </c>
      <c r="C37" s="26">
        <f>'[3]19)资产负债预算表（一）'!C37+'[4]20)资产负债预算表（一）'!C37+'[5]20)资产负债预算表（一）'!C37</f>
        <v>971166487.1999999</v>
      </c>
      <c r="D37" s="26">
        <f>'[3]19)资产负债预算表（一）'!D37+'[4]20)资产负债预算表（一）'!D37+'[5]20)资产负债预算表（一）'!D37</f>
        <v>971282157.16</v>
      </c>
      <c r="E37" s="26">
        <f>'[3]19)资产负债预算表（一）'!E37+'[4]20)资产负债预算表（一）'!E37+'[5]20)资产负债预算表（一）'!E37</f>
        <v>971199108.87</v>
      </c>
      <c r="F37" s="26">
        <f>'[3]19)资产负债预算表（一）'!F37+'[4]20)资产负债预算表（一）'!F37+'[5]20)资产负债预算表（一）'!F37</f>
        <v>971367015.86</v>
      </c>
      <c r="G37" s="26">
        <f>'[3]19)资产负债预算表（一）'!G37+'[4]20)资产负债预算表（一）'!G37+'[5]20)资产负债预算表（一）'!G37</f>
        <v>971404581.0166667</v>
      </c>
      <c r="H37" s="26">
        <f>'[3]19)资产负债预算表（一）'!H37+'[4]20)资产负债预算表（一）'!H37+'[5]20)资产负债预算表（一）'!H37</f>
        <v>971385708.1733333</v>
      </c>
      <c r="I37" s="26">
        <f>'[3]19)资产负债预算表（一）'!I37+'[4]20)资产负债预算表（一）'!I37+'[5]20)资产负债预算表（一）'!I37</f>
        <v>971366835.33</v>
      </c>
      <c r="J37" s="5"/>
    </row>
    <row r="38" spans="1:10" ht="18" customHeight="1">
      <c r="A38" s="25" t="s">
        <v>915</v>
      </c>
      <c r="B38" s="18" t="s">
        <v>916</v>
      </c>
      <c r="C38" s="26">
        <f>'[3]19)资产负债预算表（一）'!C38+'[4]20)资产负债预算表（一）'!C38+'[5]20)资产负债预算表（一）'!C38</f>
        <v>0</v>
      </c>
      <c r="D38" s="26">
        <f>'[3]19)资产负债预算表（一）'!D38+'[4]20)资产负债预算表（一）'!D38+'[5]20)资产负债预算表（一）'!D38</f>
        <v>0</v>
      </c>
      <c r="E38" s="26">
        <f>'[3]19)资产负债预算表（一）'!E38+'[4]20)资产负债预算表（一）'!E38+'[5]20)资产负债预算表（一）'!E38</f>
        <v>0</v>
      </c>
      <c r="F38" s="26">
        <f>'[3]19)资产负债预算表（一）'!F38+'[4]20)资产负债预算表（一）'!F38+'[5]20)资产负债预算表（一）'!F38</f>
        <v>0</v>
      </c>
      <c r="G38" s="26">
        <f>'[3]19)资产负债预算表（一）'!G38+'[4]20)资产负债预算表（一）'!G38+'[5]20)资产负债预算表（一）'!G38</f>
        <v>0</v>
      </c>
      <c r="H38" s="26">
        <f>'[3]19)资产负债预算表（一）'!H38+'[4]20)资产负债预算表（一）'!H38+'[5]20)资产负债预算表（一）'!H38</f>
        <v>0</v>
      </c>
      <c r="I38" s="26">
        <f>'[3]19)资产负债预算表（一）'!I38+'[4]20)资产负债预算表（一）'!I38+'[5]20)资产负债预算表（一）'!I38</f>
        <v>0</v>
      </c>
      <c r="J38" s="5"/>
    </row>
    <row r="39" spans="1:10" ht="18" customHeight="1">
      <c r="A39" s="25" t="s">
        <v>917</v>
      </c>
      <c r="B39" s="18" t="s">
        <v>918</v>
      </c>
      <c r="C39" s="26">
        <f>'[3]19)资产负债预算表（一）'!C39+'[4]20)资产负债预算表（一）'!C39+'[5]20)资产负债预算表（一）'!C39</f>
        <v>0</v>
      </c>
      <c r="D39" s="26">
        <f>'[3]19)资产负债预算表（一）'!D39+'[4]20)资产负债预算表（一）'!D39+'[5]20)资产负债预算表（一）'!D39</f>
        <v>0</v>
      </c>
      <c r="E39" s="26">
        <f>'[3]19)资产负债预算表（一）'!E39+'[4]20)资产负债预算表（一）'!E39+'[5]20)资产负债预算表（一）'!E39</f>
        <v>0</v>
      </c>
      <c r="F39" s="26">
        <f>'[3]19)资产负债预算表（一）'!F39+'[4]20)资产负债预算表（一）'!F39+'[5]20)资产负债预算表（一）'!F39</f>
        <v>0</v>
      </c>
      <c r="G39" s="26">
        <f>'[3]19)资产负债预算表（一）'!G39+'[4]20)资产负债预算表（一）'!G39+'[5]20)资产负债预算表（一）'!G39</f>
        <v>0</v>
      </c>
      <c r="H39" s="26">
        <f>'[3]19)资产负债预算表（一）'!H39+'[4]20)资产负债预算表（一）'!H39+'[5]20)资产负债预算表（一）'!H39</f>
        <v>0</v>
      </c>
      <c r="I39" s="26">
        <f>'[3]19)资产负债预算表（一）'!I39+'[4]20)资产负债预算表（一）'!I39+'[5]20)资产负债预算表（一）'!I39</f>
        <v>0</v>
      </c>
      <c r="J39" s="5"/>
    </row>
    <row r="40" spans="1:10" ht="18" customHeight="1">
      <c r="A40" s="25" t="s">
        <v>919</v>
      </c>
      <c r="B40" s="18" t="s">
        <v>920</v>
      </c>
      <c r="C40" s="26">
        <f>'[3]19)资产负债预算表（一）'!C40+'[4]20)资产负债预算表（一）'!C40+'[5]20)资产负债预算表（一）'!C40</f>
        <v>676857.32</v>
      </c>
      <c r="D40" s="26">
        <f>'[3]19)资产负债预算表（一）'!D40+'[4]20)资产负债预算表（一）'!D40+'[5]20)资产负债预算表（一）'!D40</f>
        <v>400114.44</v>
      </c>
      <c r="E40" s="26">
        <f>'[3]19)资产负债预算表（一）'!E40+'[4]20)资产负债预算表（一）'!E40+'[5]20)资产负债预算表（一）'!E40</f>
        <v>1148763.6500000001</v>
      </c>
      <c r="F40" s="26">
        <f>'[3]19)资产负债预算表（一）'!F40+'[4]20)资产负债预算表（一）'!F40+'[5]20)资产负债预算表（一）'!F40</f>
        <v>1078898.9000000001</v>
      </c>
      <c r="G40" s="26">
        <f>'[3]19)资产负债预算表（一）'!G40+'[4]20)资产负债预算表（一）'!G40+'[5]20)资产负债预算表（一）'!G40</f>
        <v>1014957.6500000001</v>
      </c>
      <c r="H40" s="26">
        <f>'[3]19)资产负债预算表（一）'!H40+'[4]20)资产负债预算表（一）'!H40+'[5]20)资产负债预算表（一）'!H40</f>
        <v>951016.4000000001</v>
      </c>
      <c r="I40" s="26">
        <f>'[3]19)资产负债预算表（一）'!I40+'[4]20)资产负债预算表（一）'!I40+'[5]20)资产负债预算表（一）'!I40</f>
        <v>886175.1500000001</v>
      </c>
      <c r="J40" s="5"/>
    </row>
    <row r="41" spans="1:10" ht="18" customHeight="1">
      <c r="A41" s="25" t="s">
        <v>921</v>
      </c>
      <c r="B41" s="18" t="s">
        <v>922</v>
      </c>
      <c r="C41" s="26">
        <f>'[3]19)资产负债预算表（一）'!C41+'[4]20)资产负债预算表（一）'!C41+'[5]20)资产负债预算表（一）'!C41</f>
        <v>0</v>
      </c>
      <c r="D41" s="26">
        <f>'[3]19)资产负债预算表（一）'!D41+'[4]20)资产负债预算表（一）'!D41+'[5]20)资产负债预算表（一）'!D41</f>
        <v>0</v>
      </c>
      <c r="E41" s="26">
        <f>'[3]19)资产负债预算表（一）'!E41+'[4]20)资产负债预算表（一）'!E41+'[5]20)资产负债预算表（一）'!E41</f>
        <v>0</v>
      </c>
      <c r="F41" s="26">
        <f>'[3]19)资产负债预算表（一）'!F41+'[4]20)资产负债预算表（一）'!F41+'[5]20)资产负债预算表（一）'!F41</f>
        <v>0</v>
      </c>
      <c r="G41" s="26">
        <f>'[3]19)资产负债预算表（一）'!G41+'[4]20)资产负债预算表（一）'!G41+'[5]20)资产负债预算表（一）'!G41</f>
        <v>0</v>
      </c>
      <c r="H41" s="26">
        <f>'[3]19)资产负债预算表（一）'!H41+'[4]20)资产负债预算表（一）'!H41+'[5]20)资产负债预算表（一）'!H41</f>
        <v>0</v>
      </c>
      <c r="I41" s="26">
        <f>'[3]19)资产负债预算表（一）'!I41+'[4]20)资产负债预算表（一）'!I41+'[5]20)资产负债预算表（一）'!I41</f>
        <v>0</v>
      </c>
      <c r="J41" s="5"/>
    </row>
    <row r="42" spans="1:10" ht="18" customHeight="1">
      <c r="A42" s="25" t="s">
        <v>923</v>
      </c>
      <c r="B42" s="18" t="s">
        <v>924</v>
      </c>
      <c r="C42" s="11">
        <f>SUM(C19:C23)+SUM(C28:C31)+SUM(C36:C41)</f>
        <v>976313044.6999999</v>
      </c>
      <c r="D42" s="11">
        <f>D22+D28+D37</f>
        <v>972130988.04</v>
      </c>
      <c r="E42" s="11">
        <f>SUM(E19:E23)+SUM(E28:E31)+SUM(E36:E41)</f>
        <v>977732677.8</v>
      </c>
      <c r="F42" s="11">
        <f>SUM(F19:F23)+SUM(F28:F31)+SUM(F36:F41)</f>
        <v>978070603.8175462</v>
      </c>
      <c r="G42" s="11">
        <f>SUM(G19:G23)+SUM(G28:G31)+SUM(G36:G41)</f>
        <v>978243246.9275461</v>
      </c>
      <c r="H42" s="11">
        <f>SUM(H19:H23)+SUM(H28:H31)+SUM(H36:H41)</f>
        <v>978278606.6692128</v>
      </c>
      <c r="I42" s="11">
        <f>SUM(I19:I23)+SUM(I28:I31)+SUM(I36:I41)</f>
        <v>978283016.1890795</v>
      </c>
      <c r="J42" s="5"/>
    </row>
    <row r="43" spans="1:10" ht="18" customHeight="1">
      <c r="A43" s="25" t="s">
        <v>925</v>
      </c>
      <c r="B43" s="18" t="s">
        <v>926</v>
      </c>
      <c r="C43" s="11">
        <f>C17+C42</f>
        <v>1038043966.4499999</v>
      </c>
      <c r="D43" s="11">
        <f>D17+D42</f>
        <v>1035981089.62</v>
      </c>
      <c r="E43" s="11">
        <f>E17+E42</f>
        <v>1041246306.5527999</v>
      </c>
      <c r="F43" s="11">
        <f aca="true" t="shared" si="3" ref="C43:I43">F17+F42</f>
        <v>1038484689.4853764</v>
      </c>
      <c r="G43" s="11">
        <f t="shared" si="3"/>
        <v>1038478586.0626551</v>
      </c>
      <c r="H43" s="11">
        <f t="shared" si="3"/>
        <v>1039412008.4326013</v>
      </c>
      <c r="I43" s="11">
        <f t="shared" si="3"/>
        <v>1042551118.8449306</v>
      </c>
      <c r="J43" s="5"/>
    </row>
    <row r="44" spans="1:10" ht="18" customHeight="1">
      <c r="A44" s="5"/>
      <c r="B44" s="5"/>
      <c r="C44" s="16"/>
      <c r="D44" s="16" t="s">
        <v>497</v>
      </c>
      <c r="E44" s="4" t="s">
        <v>114</v>
      </c>
      <c r="F44" s="5"/>
      <c r="G44" s="5"/>
      <c r="H44" s="16" t="s">
        <v>927</v>
      </c>
      <c r="I44" s="4" t="s">
        <v>111</v>
      </c>
      <c r="J44" s="5"/>
    </row>
  </sheetData>
  <sheetProtection/>
  <mergeCells count="8">
    <mergeCell ref="A1:J1"/>
    <mergeCell ref="F3:I3"/>
    <mergeCell ref="A3:A4"/>
    <mergeCell ref="B3:B4"/>
    <mergeCell ref="C3:C4"/>
    <mergeCell ref="D3:D4"/>
    <mergeCell ref="E3:E4"/>
    <mergeCell ref="J3:J4"/>
  </mergeCells>
  <printOptions/>
  <pageMargins left="1.69" right="0.38" top="0.39" bottom="0.31" header="0.23999999999999996" footer="0.23999999999999996"/>
  <pageSetup fitToHeight="1" fitToWidth="1" horizontalDpi="300" verticalDpi="300" orientation="landscape" paperSize="9" scale="69"/>
  <legacyDrawing r:id="rId2"/>
</worksheet>
</file>

<file path=xl/worksheets/sheet37.xml><?xml version="1.0" encoding="utf-8"?>
<worksheet xmlns="http://schemas.openxmlformats.org/spreadsheetml/2006/main" xmlns:r="http://schemas.openxmlformats.org/officeDocument/2006/relationships">
  <sheetPr>
    <pageSetUpPr fitToPage="1"/>
  </sheetPr>
  <dimension ref="A1:J48"/>
  <sheetViews>
    <sheetView workbookViewId="0" topLeftCell="A15">
      <selection activeCell="K48" sqref="K48"/>
    </sheetView>
  </sheetViews>
  <sheetFormatPr defaultColWidth="9.140625" defaultRowHeight="12.75"/>
  <cols>
    <col min="1" max="1" width="31.28125" style="0" customWidth="1"/>
    <col min="2" max="2" width="7.00390625" style="0" customWidth="1"/>
    <col min="3" max="3" width="14.28125" style="0" customWidth="1"/>
    <col min="4" max="5" width="15.28125" style="0" customWidth="1"/>
    <col min="6" max="9" width="14.28125" style="0" customWidth="1"/>
    <col min="10" max="10" width="8.7109375" style="0" customWidth="1"/>
    <col min="11" max="11" width="11.7109375" style="0" bestFit="1" customWidth="1"/>
    <col min="13" max="13" width="12.8515625" style="0" bestFit="1" customWidth="1"/>
    <col min="14" max="14" width="11.7109375" style="0" bestFit="1" customWidth="1"/>
  </cols>
  <sheetData>
    <row r="1" spans="1:10" ht="24.75" customHeight="1">
      <c r="A1" s="43" t="s">
        <v>928</v>
      </c>
      <c r="B1" s="44"/>
      <c r="C1" s="44"/>
      <c r="D1" s="44"/>
      <c r="E1" s="44"/>
      <c r="F1" s="44"/>
      <c r="G1" s="44"/>
      <c r="H1" s="44"/>
      <c r="I1" s="44"/>
      <c r="J1" s="53"/>
    </row>
    <row r="2" spans="1:10" ht="18" customHeight="1">
      <c r="A2" s="5" t="s">
        <v>287</v>
      </c>
      <c r="B2" s="45"/>
      <c r="C2" s="46"/>
      <c r="D2" s="46"/>
      <c r="E2" s="17" t="s">
        <v>288</v>
      </c>
      <c r="F2" s="47"/>
      <c r="H2" s="5"/>
      <c r="I2" s="5"/>
      <c r="J2" s="16" t="s">
        <v>1</v>
      </c>
    </row>
    <row r="3" spans="1:10" ht="18" customHeight="1">
      <c r="A3" s="18" t="s">
        <v>866</v>
      </c>
      <c r="B3" s="18" t="s">
        <v>867</v>
      </c>
      <c r="C3" s="9" t="s">
        <v>868</v>
      </c>
      <c r="D3" s="48" t="s">
        <v>869</v>
      </c>
      <c r="E3" s="9" t="s">
        <v>464</v>
      </c>
      <c r="F3" s="9" t="s">
        <v>870</v>
      </c>
      <c r="G3" s="9" t="s">
        <v>870</v>
      </c>
      <c r="H3" s="9" t="s">
        <v>870</v>
      </c>
      <c r="I3" s="9" t="s">
        <v>870</v>
      </c>
      <c r="J3" s="18" t="s">
        <v>33</v>
      </c>
    </row>
    <row r="4" spans="1:10" ht="18" customHeight="1">
      <c r="A4" s="18" t="s">
        <v>866</v>
      </c>
      <c r="B4" s="18" t="s">
        <v>867</v>
      </c>
      <c r="C4" s="9" t="s">
        <v>868</v>
      </c>
      <c r="D4" s="49"/>
      <c r="E4" s="9"/>
      <c r="F4" s="9" t="s">
        <v>324</v>
      </c>
      <c r="G4" s="9" t="s">
        <v>331</v>
      </c>
      <c r="H4" s="9" t="s">
        <v>334</v>
      </c>
      <c r="I4" s="9" t="s">
        <v>336</v>
      </c>
      <c r="J4" s="18" t="s">
        <v>33</v>
      </c>
    </row>
    <row r="5" spans="1:10" ht="18" customHeight="1">
      <c r="A5" s="25" t="s">
        <v>929</v>
      </c>
      <c r="B5" s="18" t="s">
        <v>530</v>
      </c>
      <c r="C5" s="18" t="s">
        <v>530</v>
      </c>
      <c r="D5" s="18" t="s">
        <v>530</v>
      </c>
      <c r="E5" s="18" t="s">
        <v>530</v>
      </c>
      <c r="F5" s="18" t="s">
        <v>530</v>
      </c>
      <c r="G5" s="18" t="s">
        <v>530</v>
      </c>
      <c r="H5" s="18" t="s">
        <v>530</v>
      </c>
      <c r="I5" s="18" t="s">
        <v>530</v>
      </c>
      <c r="J5" s="5"/>
    </row>
    <row r="6" spans="1:10" ht="18" customHeight="1">
      <c r="A6" s="25" t="s">
        <v>930</v>
      </c>
      <c r="B6" s="18" t="s">
        <v>931</v>
      </c>
      <c r="C6" s="11">
        <f>'[3]20)资产负债预算表（二）'!C6+'[4]21)资产负债预算表（二）'!C6+'[5]21)资产负债预算表（二）'!C6</f>
        <v>0</v>
      </c>
      <c r="D6" s="11">
        <f>'[3]20)资产负债预算表（二）'!D6+'[4]21)资产负债预算表（二）'!D6+'[5]21)资产负债预算表（二）'!D6</f>
        <v>0</v>
      </c>
      <c r="E6" s="11">
        <f>'[3]20)资产负债预算表（二）'!E6+'[4]21)资产负债预算表（二）'!E6+'[5]21)资产负债预算表（二）'!E6</f>
        <v>0</v>
      </c>
      <c r="F6" s="11">
        <f>'[3]20)资产负债预算表（二）'!F6+'[4]21)资产负债预算表（二）'!F6+'[5]21)资产负债预算表（二）'!F6</f>
        <v>0</v>
      </c>
      <c r="G6" s="11">
        <f>'[3]20)资产负债预算表（二）'!G6+'[4]21)资产负债预算表（二）'!G6+'[5]21)资产负债预算表（二）'!G6</f>
        <v>0</v>
      </c>
      <c r="H6" s="11">
        <f>'[3]20)资产负债预算表（二）'!H6+'[4]21)资产负债预算表（二）'!H6+'[5]21)资产负债预算表（二）'!H6</f>
        <v>0</v>
      </c>
      <c r="I6" s="11">
        <f>'[3]20)资产负债预算表（二）'!I6+'[4]21)资产负债预算表（二）'!I6+'[5]21)资产负债预算表（二）'!I6</f>
        <v>0</v>
      </c>
      <c r="J6" s="5"/>
    </row>
    <row r="7" spans="1:10" ht="18" customHeight="1">
      <c r="A7" s="25" t="s">
        <v>932</v>
      </c>
      <c r="B7" s="18" t="s">
        <v>933</v>
      </c>
      <c r="C7" s="11">
        <f>'[3]20)资产负债预算表（二）'!C7+'[4]21)资产负债预算表（二）'!C7+'[5]21)资产负债预算表（二）'!C7</f>
        <v>0</v>
      </c>
      <c r="D7" s="11">
        <f>'[3]20)资产负债预算表（二）'!D7+'[4]21)资产负债预算表（二）'!D7+'[5]21)资产负债预算表（二）'!D7</f>
        <v>0</v>
      </c>
      <c r="E7" s="11">
        <f>'[3]20)资产负债预算表（二）'!E7+'[4]21)资产负债预算表（二）'!E7+'[5]21)资产负债预算表（二）'!E7</f>
        <v>0</v>
      </c>
      <c r="F7" s="11">
        <f>'[3]20)资产负债预算表（二）'!F7+'[4]21)资产负债预算表（二）'!F7+'[5]21)资产负债预算表（二）'!F7</f>
        <v>0</v>
      </c>
      <c r="G7" s="11">
        <f>'[3]20)资产负债预算表（二）'!G7+'[4]21)资产负债预算表（二）'!G7+'[5]21)资产负债预算表（二）'!G7</f>
        <v>0</v>
      </c>
      <c r="H7" s="11">
        <f>'[3]20)资产负债预算表（二）'!H7+'[4]21)资产负债预算表（二）'!H7+'[5]21)资产负债预算表（二）'!H7</f>
        <v>0</v>
      </c>
      <c r="I7" s="11">
        <f>'[3]20)资产负债预算表（二）'!I7+'[4]21)资产负债预算表（二）'!I7+'[5]21)资产负债预算表（二）'!I7</f>
        <v>0</v>
      </c>
      <c r="J7" s="5"/>
    </row>
    <row r="8" spans="1:10" ht="18" customHeight="1">
      <c r="A8" s="25" t="s">
        <v>934</v>
      </c>
      <c r="B8" s="18" t="s">
        <v>935</v>
      </c>
      <c r="C8" s="11">
        <f>'[3]20)资产负债预算表（二）'!C8+'[4]21)资产负债预算表（二）'!C8+'[5]21)资产负债预算表（二）'!C8</f>
        <v>0</v>
      </c>
      <c r="D8" s="11">
        <f>'[3]20)资产负债预算表（二）'!D8+'[4]21)资产负债预算表（二）'!D8+'[5]21)资产负债预算表（二）'!D8</f>
        <v>0</v>
      </c>
      <c r="E8" s="11">
        <f>'[3]20)资产负债预算表（二）'!E8+'[4]21)资产负债预算表（二）'!E8+'[5]21)资产负债预算表（二）'!E8</f>
        <v>0</v>
      </c>
      <c r="F8" s="11">
        <f>'[3]20)资产负债预算表（二）'!F8+'[4]21)资产负债预算表（二）'!F8+'[5]21)资产负债预算表（二）'!F8</f>
        <v>0</v>
      </c>
      <c r="G8" s="11">
        <f>'[3]20)资产负债预算表（二）'!G8+'[4]21)资产负债预算表（二）'!G8+'[5]21)资产负债预算表（二）'!G8</f>
        <v>0</v>
      </c>
      <c r="H8" s="11">
        <f>'[3]20)资产负债预算表（二）'!H8+'[4]21)资产负债预算表（二）'!H8+'[5]21)资产负债预算表（二）'!H8</f>
        <v>0</v>
      </c>
      <c r="I8" s="11">
        <f>'[3]20)资产负债预算表（二）'!I8+'[4]21)资产负债预算表（二）'!I8+'[5]21)资产负债预算表（二）'!I8</f>
        <v>0</v>
      </c>
      <c r="J8" s="5"/>
    </row>
    <row r="9" spans="1:10" ht="18" customHeight="1">
      <c r="A9" s="25" t="s">
        <v>936</v>
      </c>
      <c r="B9" s="18" t="s">
        <v>937</v>
      </c>
      <c r="C9" s="11">
        <f>'[3]20)资产负债预算表（二）'!C9+'[4]21)资产负债预算表（二）'!C9+'[5]21)资产负债预算表（二）'!C9</f>
        <v>400317.75</v>
      </c>
      <c r="D9" s="11">
        <f>'[3]20)资产负债预算表（二）'!D9+'[4]21)资产负债预算表（二）'!D9+'[5]21)资产负债预算表（二）'!D9</f>
        <v>260432.68</v>
      </c>
      <c r="E9" s="11">
        <f>'[3]20)资产负债预算表（二）'!E9+'[4]21)资产负债预算表（二）'!E9+'[5]21)资产负债预算表（二）'!E9</f>
        <v>570914.96</v>
      </c>
      <c r="F9" s="11">
        <f>'[3]20)资产负债预算表（二）'!F9+'[4]21)资产负债预算表（二）'!F9+'[5]21)资产负债预算表（二）'!F9</f>
        <v>570914.96</v>
      </c>
      <c r="G9" s="11">
        <f>'[3]20)资产负债预算表（二）'!G9+'[4]21)资产负债预算表（二）'!G9+'[5]21)资产负债预算表（二）'!G9</f>
        <v>570914.96</v>
      </c>
      <c r="H9" s="11">
        <f>'[3]20)资产负债预算表（二）'!H9+'[4]21)资产负债预算表（二）'!H9+'[5]21)资产负债预算表（二）'!H9</f>
        <v>153795.47</v>
      </c>
      <c r="I9" s="11">
        <f>'[3]20)资产负债预算表（二）'!I9+'[4]21)资产负债预算表（二）'!I9+'[5]21)资产负债预算表（二）'!I9</f>
        <v>153795.47</v>
      </c>
      <c r="J9" s="5"/>
    </row>
    <row r="10" spans="1:10" ht="18" customHeight="1">
      <c r="A10" s="25" t="s">
        <v>938</v>
      </c>
      <c r="B10" s="18" t="s">
        <v>939</v>
      </c>
      <c r="C10" s="11">
        <f>'[3]20)资产负债预算表（二）'!C10+'[4]21)资产负债预算表（二）'!C10+'[5]21)资产负债预算表（二）'!C10</f>
        <v>35244</v>
      </c>
      <c r="D10" s="11">
        <f>'[3]20)资产负债预算表（二）'!D10+'[4]21)资产负债预算表（二）'!D10+'[5]21)资产负债预算表（二）'!D10</f>
        <v>650891.7</v>
      </c>
      <c r="E10" s="11">
        <f>'[3]20)资产负债预算表（二）'!E10+'[4]21)资产负债预算表（二）'!E10+'[5]21)资产负债预算表（二）'!E10</f>
        <v>573420.71</v>
      </c>
      <c r="F10" s="11">
        <f>'[3]20)资产负债预算表（二）'!F10+'[4]21)资产负债预算表（二）'!F10+'[5]21)资产负债预算表（二）'!F10</f>
        <v>498626.72</v>
      </c>
      <c r="G10" s="11">
        <f>'[3]20)资产负债预算表（二）'!G10+'[4]21)资产负债预算表（二）'!G10+'[5]21)资产负债预算表（二）'!G10</f>
        <v>423832.73</v>
      </c>
      <c r="H10" s="11">
        <f>'[3]20)资产负债预算表（二）'!H10+'[4]21)资产负债预算表（二）'!H10+'[5]21)资产负债预算表（二）'!H10</f>
        <v>349038.74</v>
      </c>
      <c r="I10" s="11">
        <f>'[3]20)资产负债预算表（二）'!I10+'[4]21)资产负债预算表（二）'!I10+'[5]21)资产负债预算表（二）'!I10</f>
        <v>274244.75</v>
      </c>
      <c r="J10" s="5"/>
    </row>
    <row r="11" spans="1:10" ht="18" customHeight="1">
      <c r="A11" s="25" t="s">
        <v>940</v>
      </c>
      <c r="B11" s="18" t="s">
        <v>941</v>
      </c>
      <c r="C11" s="11">
        <f>C12+C13</f>
        <v>3616503.47</v>
      </c>
      <c r="D11" s="11">
        <f>D12+D13</f>
        <v>3427345.2700000005</v>
      </c>
      <c r="E11" s="11">
        <f>SUM(E12:E13)</f>
        <v>4124634.0300000003</v>
      </c>
      <c r="F11" s="11">
        <f>SUM(F12:F13)</f>
        <v>1023054.72</v>
      </c>
      <c r="G11" s="11">
        <f>SUM(G12:G13)</f>
        <v>2076808.92</v>
      </c>
      <c r="H11" s="11">
        <f>SUM(H12:H13)</f>
        <v>3130563.12</v>
      </c>
      <c r="I11" s="11">
        <f>SUM(I12:I13)</f>
        <v>4217516.8</v>
      </c>
      <c r="J11" s="5"/>
    </row>
    <row r="12" spans="1:10" ht="18" customHeight="1">
      <c r="A12" s="25" t="s">
        <v>942</v>
      </c>
      <c r="B12" s="18" t="s">
        <v>943</v>
      </c>
      <c r="C12" s="11">
        <f>'[3]20)资产负债预算表（二）'!C12+'[4]21)资产负债预算表（二）'!C12+'[5]21)资产负债预算表（二）'!C12</f>
        <v>3607791.47</v>
      </c>
      <c r="D12" s="11">
        <f>'[3]20)资产负债预算表（二）'!D12+'[4]21)资产负债预算表（二）'!D12+'[5]21)资产负债预算表（二）'!D12</f>
        <v>3362005.6900000004</v>
      </c>
      <c r="E12" s="11">
        <f>'[3]20)资产负债预算表（二）'!E12+'[4]21)资产负债预算表（二）'!E12+'[5]21)资产负债预算表（二）'!E12</f>
        <v>4059294.45</v>
      </c>
      <c r="F12" s="11">
        <f>'[3]20)资产负债预算表（二）'!F12+'[4]21)资产负债预算表（二）'!F12+'[5]21)资产负债预算表（二）'!F12</f>
        <v>1023054.72</v>
      </c>
      <c r="G12" s="11">
        <f>'[3]20)资产负债预算表（二）'!G12+'[4]21)资产负债预算表（二）'!G12+'[5]21)资产负债预算表（二）'!G12</f>
        <v>2076808.92</v>
      </c>
      <c r="H12" s="11">
        <f>'[3]20)资产负债预算表（二）'!H12+'[4]21)资产负债预算表（二）'!H12+'[5]21)资产负债预算表（二）'!H12</f>
        <v>3130563.12</v>
      </c>
      <c r="I12" s="11">
        <f>'[3]20)资产负债预算表（二）'!I12+'[4]21)资产负债预算表（二）'!I12+'[5]21)资产负债预算表（二）'!I12</f>
        <v>4217516.8</v>
      </c>
      <c r="J12" s="5"/>
    </row>
    <row r="13" spans="1:10" ht="18" customHeight="1">
      <c r="A13" s="25" t="s">
        <v>944</v>
      </c>
      <c r="B13" s="18" t="s">
        <v>945</v>
      </c>
      <c r="C13" s="11">
        <f>'[3]20)资产负债预算表（二）'!C13+'[4]21)资产负债预算表（二）'!C13+'[5]21)资产负债预算表（二）'!C13</f>
        <v>8712</v>
      </c>
      <c r="D13" s="11">
        <f>'[3]20)资产负债预算表（二）'!D13+'[4]21)资产负债预算表（二）'!D13+'[5]21)资产负债预算表（二）'!D13</f>
        <v>65339.58</v>
      </c>
      <c r="E13" s="11">
        <f>'[3]20)资产负债预算表（二）'!E13+'[4]21)资产负债预算表（二）'!E13+'[5]21)资产负债预算表（二）'!E13</f>
        <v>65339.58</v>
      </c>
      <c r="F13" s="11">
        <f>'[3]20)资产负债预算表（二）'!F13+'[4]21)资产负债预算表（二）'!F13+'[5]21)资产负债预算表（二）'!F13</f>
        <v>0</v>
      </c>
      <c r="G13" s="11">
        <f>'[3]20)资产负债预算表（二）'!G13+'[4]21)资产负债预算表（二）'!G13+'[5]21)资产负债预算表（二）'!G13</f>
        <v>0</v>
      </c>
      <c r="H13" s="11">
        <f>'[3]20)资产负债预算表（二）'!H13+'[4]21)资产负债预算表（二）'!H13+'[5]21)资产负债预算表（二）'!H13</f>
        <v>0</v>
      </c>
      <c r="I13" s="11">
        <f>'[3]20)资产负债预算表（二）'!I13+'[4]21)资产负债预算表（二）'!I13+'[5]21)资产负债预算表（二）'!I13</f>
        <v>0</v>
      </c>
      <c r="J13" s="5"/>
    </row>
    <row r="14" spans="1:10" ht="18" customHeight="1">
      <c r="A14" s="25" t="s">
        <v>946</v>
      </c>
      <c r="B14" s="18" t="s">
        <v>947</v>
      </c>
      <c r="C14" s="11">
        <f>'[3]20)资产负债预算表（二）'!C14+'[4]21)资产负债预算表（二）'!C14+'[5]21)资产负债预算表（二）'!C14</f>
        <v>528392.48</v>
      </c>
      <c r="D14" s="11">
        <f>'[3]20)资产负债预算表（二）'!D14+'[4]21)资产负债预算表（二）'!D14+'[5]21)资产负债预算表（二）'!D14</f>
        <v>431691.87</v>
      </c>
      <c r="E14" s="11">
        <f>'[3]20)资产负债预算表（二）'!E14+'[4]21)资产负债预算表（二）'!E14+'[5]21)资产负债预算表（二）'!E14</f>
        <v>227358.6672</v>
      </c>
      <c r="F14" s="11">
        <f>'[3]20)资产负债预算表（二）'!F14+'[4]21)资产负债预算表（二）'!F14+'[5]21)资产负债预算表（二）'!F14</f>
        <v>381193.2051584906</v>
      </c>
      <c r="G14" s="11">
        <f>'[3]20)资产负债预算表（二）'!G14+'[4]21)资产负债预算表（二）'!G14+'[5]21)资产负债预算表（二）'!G14</f>
        <v>405875.353820772</v>
      </c>
      <c r="H14" s="11">
        <f>'[3]20)资产负债预算表（二）'!H14+'[4]21)资产负债预算表（二）'!H14+'[5]21)资产负债预算表（二）'!H14</f>
        <v>396187.4361903396</v>
      </c>
      <c r="I14" s="11">
        <f>'[3]20)资产负债预算表（二）'!I14+'[4]21)资产负债预算表（二）'!I14+'[5]21)资产负债预算表（二）'!I14</f>
        <v>958699.0159680273</v>
      </c>
      <c r="J14" s="5"/>
    </row>
    <row r="15" spans="1:10" ht="18" customHeight="1">
      <c r="A15" s="25" t="s">
        <v>948</v>
      </c>
      <c r="B15" s="18" t="s">
        <v>949</v>
      </c>
      <c r="C15" s="11">
        <f>'[3]20)资产负债预算表（二）'!C15+'[4]21)资产负债预算表（二）'!C15+'[5]21)资产负债预算表（二）'!C15</f>
        <v>0</v>
      </c>
      <c r="D15" s="11">
        <f>'[3]20)资产负债预算表（二）'!D15+'[4]21)资产负债预算表（二）'!D15+'[5]21)资产负债预算表（二）'!D15</f>
        <v>0</v>
      </c>
      <c r="E15" s="11">
        <f>'[3]20)资产负债预算表（二）'!E15+'[4]21)资产负债预算表（二）'!E15+'[5]21)资产负债预算表（二）'!E15</f>
        <v>0</v>
      </c>
      <c r="F15" s="11">
        <f>'[3]20)资产负债预算表（二）'!F15+'[4]21)资产负债预算表（二）'!F15+'[5]21)资产负债预算表（二）'!F15</f>
        <v>0</v>
      </c>
      <c r="G15" s="11">
        <f>'[3]20)资产负债预算表（二）'!G15+'[4]21)资产负债预算表（二）'!G15+'[5]21)资产负债预算表（二）'!G15</f>
        <v>0</v>
      </c>
      <c r="H15" s="11">
        <f>'[3]20)资产负债预算表（二）'!H15+'[4]21)资产负债预算表（二）'!H15+'[5]21)资产负债预算表（二）'!H15</f>
        <v>0</v>
      </c>
      <c r="I15" s="11">
        <f>'[3]20)资产负债预算表（二）'!I15+'[4]21)资产负债预算表（二）'!I15+'[5]21)资产负债预算表（二）'!I15</f>
        <v>0</v>
      </c>
      <c r="J15" s="5"/>
    </row>
    <row r="16" spans="1:10" ht="18" customHeight="1">
      <c r="A16" s="25" t="s">
        <v>950</v>
      </c>
      <c r="B16" s="18" t="s">
        <v>951</v>
      </c>
      <c r="C16" s="11">
        <f>'[3]20)资产负债预算表（二）'!C16+'[4]21)资产负债预算表（二）'!C16+'[5]21)资产负债预算表（二）'!C16</f>
        <v>0</v>
      </c>
      <c r="D16" s="11">
        <f>'[3]20)资产负债预算表（二）'!D16+'[4]21)资产负债预算表（二）'!D16+'[5]21)资产负债预算表（二）'!D16</f>
        <v>0</v>
      </c>
      <c r="E16" s="11">
        <f>'[3]20)资产负债预算表（二）'!E16+'[4]21)资产负债预算表（二）'!E16+'[5]21)资产负债预算表（二）'!E16</f>
        <v>0</v>
      </c>
      <c r="F16" s="11">
        <f>'[3]20)资产负债预算表（二）'!F16+'[4]21)资产负债预算表（二）'!F16+'[5]21)资产负债预算表（二）'!F16</f>
        <v>294933.1825600001</v>
      </c>
      <c r="G16" s="11">
        <f>'[3]20)资产负债预算表（二）'!G16+'[4]21)资产负债预算表（二）'!G16+'[5]21)资产负债预算表（二）'!G16</f>
        <v>0</v>
      </c>
      <c r="H16" s="11">
        <f>'[3]20)资产负债预算表（二）'!H16+'[4]21)资产负债预算表（二）'!H16+'[5]21)资产负债预算表（二）'!H16</f>
        <v>0</v>
      </c>
      <c r="I16" s="11">
        <f>'[3]20)资产负债预算表（二）'!I16+'[4]21)资产负债预算表（二）'!I16+'[5]21)资产负债预算表（二）'!I16</f>
        <v>0</v>
      </c>
      <c r="J16" s="5"/>
    </row>
    <row r="17" spans="1:10" ht="18" customHeight="1">
      <c r="A17" s="25" t="s">
        <v>952</v>
      </c>
      <c r="B17" s="18" t="s">
        <v>953</v>
      </c>
      <c r="C17" s="11">
        <f>'[3]20)资产负债预算表（二）'!C17+'[4]21)资产负债预算表（二）'!C17+'[5]21)资产负债预算表（二）'!C17</f>
        <v>4693610.86</v>
      </c>
      <c r="D17" s="11">
        <f>'[3]20)资产负债预算表（二）'!D17+'[4]21)资产负债预算表（二）'!D17+'[5]21)资产负债预算表（二）'!D17-2879114.96</f>
        <v>1015153.9900000002</v>
      </c>
      <c r="E17" s="11">
        <f>'[3]20)资产负债预算表（二）'!E17+'[4]21)资产负债预算表（二）'!E17+'[5]21)资产负债预算表（二）'!E17-1954973.37</f>
        <v>2452588.16</v>
      </c>
      <c r="F17" s="11">
        <v>1898151.5109530706</v>
      </c>
      <c r="G17" s="11">
        <v>1870033.8105000257</v>
      </c>
      <c r="H17" s="11">
        <v>2092117.889556408</v>
      </c>
      <c r="I17" s="11">
        <v>1350663.070074916</v>
      </c>
      <c r="J17" s="5"/>
    </row>
    <row r="18" spans="1:10" ht="18" customHeight="1">
      <c r="A18" s="25" t="s">
        <v>954</v>
      </c>
      <c r="B18" s="18" t="s">
        <v>955</v>
      </c>
      <c r="C18" s="11">
        <f>'[3]20)资产负债预算表（二）'!C18+'[4]21)资产负债预算表（二）'!C18+'[5]21)资产负债预算表（二）'!C18</f>
        <v>0</v>
      </c>
      <c r="D18" s="11">
        <f>'[3]20)资产负债预算表（二）'!D18+'[4]21)资产负债预算表（二）'!D18+'[5]21)资产负债预算表（二）'!D18</f>
        <v>0</v>
      </c>
      <c r="E18" s="11">
        <f>'[3]20)资产负债预算表（二）'!E18+'[4]21)资产负债预算表（二）'!E18+'[5]21)资产负债预算表（二）'!E18</f>
        <v>0</v>
      </c>
      <c r="F18" s="11">
        <f>'[3]20)资产负债预算表（二）'!F18+'[4]21)资产负债预算表（二）'!F18+'[5]21)资产负债预算表（二）'!F18</f>
        <v>0</v>
      </c>
      <c r="G18" s="11">
        <f>'[3]20)资产负债预算表（二）'!G18+'[4]21)资产负债预算表（二）'!G18+'[5]21)资产负债预算表（二）'!G18</f>
        <v>0</v>
      </c>
      <c r="H18" s="11">
        <f>'[3]20)资产负债预算表（二）'!H18+'[4]21)资产负债预算表（二）'!H18+'[5]21)资产负债预算表（二）'!H18</f>
        <v>0</v>
      </c>
      <c r="I18" s="11">
        <f>'[3]20)资产负债预算表（二）'!I18+'[4]21)资产负债预算表（二）'!I18+'[5]21)资产负债预算表（二）'!I18</f>
        <v>0</v>
      </c>
      <c r="J18" s="5"/>
    </row>
    <row r="19" spans="1:10" ht="18" customHeight="1">
      <c r="A19" s="25" t="s">
        <v>956</v>
      </c>
      <c r="B19" s="18" t="s">
        <v>957</v>
      </c>
      <c r="C19" s="11">
        <f>'[3]20)资产负债预算表（二）'!C19+'[4]21)资产负债预算表（二）'!C19+'[5]21)资产负债预算表（二）'!C19</f>
        <v>0</v>
      </c>
      <c r="D19" s="11">
        <f>'[3]20)资产负债预算表（二）'!D19+'[4]21)资产负债预算表（二）'!D19+'[5]21)资产负债预算表（二）'!D19</f>
        <v>0</v>
      </c>
      <c r="E19" s="11">
        <f>'[3]20)资产负债预算表（二）'!E19+'[4]21)资产负债预算表（二）'!E19+'[5]21)资产负债预算表（二）'!E19</f>
        <v>0</v>
      </c>
      <c r="F19" s="11">
        <f>'[3]20)资产负债预算表（二）'!F19+'[4]21)资产负债预算表（二）'!F19+'[5]21)资产负债预算表（二）'!F19</f>
        <v>0</v>
      </c>
      <c r="G19" s="11">
        <f>'[3]20)资产负债预算表（二）'!G19+'[4]21)资产负债预算表（二）'!G19+'[5]21)资产负债预算表（二）'!G19</f>
        <v>0</v>
      </c>
      <c r="H19" s="11">
        <f>'[3]20)资产负债预算表（二）'!H19+'[4]21)资产负债预算表（二）'!H19+'[5]21)资产负债预算表（二）'!H19</f>
        <v>0</v>
      </c>
      <c r="I19" s="11">
        <f>'[3]20)资产负债预算表（二）'!I19+'[4]21)资产负债预算表（二）'!I19+'[5]21)资产负债预算表（二）'!I19</f>
        <v>0</v>
      </c>
      <c r="J19" s="5"/>
    </row>
    <row r="20" spans="1:10" ht="18" customHeight="1">
      <c r="A20" s="25" t="s">
        <v>958</v>
      </c>
      <c r="B20" s="18" t="s">
        <v>959</v>
      </c>
      <c r="C20" s="11">
        <f>SUM(C6:C11)+SUM(C14:C19)</f>
        <v>9274068.56</v>
      </c>
      <c r="D20" s="11">
        <f>D11+D14+D17+D19+D9</f>
        <v>5134623.8100000005</v>
      </c>
      <c r="E20" s="11">
        <f>SUM(E6:E11)+SUM(E14:E19)</f>
        <v>7948916.5272</v>
      </c>
      <c r="F20" s="11">
        <f>SUM(F6:F11)+SUM(F14:F19)</f>
        <v>4666874.298671561</v>
      </c>
      <c r="G20" s="11">
        <f>SUM(G6:G11)+SUM(G14:G19)</f>
        <v>5347465.774320798</v>
      </c>
      <c r="H20" s="11">
        <f>SUM(H6:H11)+SUM(H14:H19)</f>
        <v>6121702.655746748</v>
      </c>
      <c r="I20" s="11">
        <f>SUM(I6:I11)+SUM(I14:I19)</f>
        <v>6954919.106042943</v>
      </c>
      <c r="J20" s="5"/>
    </row>
    <row r="21" spans="1:10" ht="18" customHeight="1">
      <c r="A21" s="25" t="s">
        <v>960</v>
      </c>
      <c r="B21" s="18" t="s">
        <v>530</v>
      </c>
      <c r="C21" s="18" t="s">
        <v>530</v>
      </c>
      <c r="D21" s="18" t="s">
        <v>530</v>
      </c>
      <c r="E21" s="18" t="s">
        <v>530</v>
      </c>
      <c r="F21" s="18" t="s">
        <v>530</v>
      </c>
      <c r="G21" s="18" t="s">
        <v>530</v>
      </c>
      <c r="H21" s="18" t="s">
        <v>530</v>
      </c>
      <c r="I21" s="18" t="s">
        <v>530</v>
      </c>
      <c r="J21" s="5"/>
    </row>
    <row r="22" spans="1:10" ht="18" customHeight="1">
      <c r="A22" s="25" t="s">
        <v>961</v>
      </c>
      <c r="B22" s="18" t="s">
        <v>962</v>
      </c>
      <c r="C22" s="11">
        <f>'[3]20)资产负债预算表（二）'!C22+'[4]21)资产负债预算表（二）'!C22+'[5]21)资产负债预算表（二）'!C22</f>
        <v>0</v>
      </c>
      <c r="D22" s="11">
        <f>'[3]20)资产负债预算表（二）'!D22+'[4]21)资产负债预算表（二）'!D22+'[5]21)资产负债预算表（二）'!D22</f>
        <v>0</v>
      </c>
      <c r="E22" s="11">
        <f>'[3]20)资产负债预算表（二）'!E22+'[4]21)资产负债预算表（二）'!E22+'[5]21)资产负债预算表（二）'!E22</f>
        <v>0</v>
      </c>
      <c r="F22" s="11">
        <f>'[3]20)资产负债预算表（二）'!F22+'[4]21)资产负债预算表（二）'!F22+'[5]21)资产负债预算表（二）'!F22</f>
        <v>0</v>
      </c>
      <c r="G22" s="11">
        <f>'[3]20)资产负债预算表（二）'!G22+'[4]21)资产负债预算表（二）'!G22+'[5]21)资产负债预算表（二）'!G22</f>
        <v>0</v>
      </c>
      <c r="H22" s="11">
        <f>'[3]20)资产负债预算表（二）'!H22+'[4]21)资产负债预算表（二）'!H22+'[5]21)资产负债预算表（二）'!H22</f>
        <v>0</v>
      </c>
      <c r="I22" s="11">
        <f>'[3]20)资产负债预算表（二）'!I22+'[4]21)资产负债预算表（二）'!I22+'[5]21)资产负债预算表（二）'!I22</f>
        <v>0</v>
      </c>
      <c r="J22" s="5"/>
    </row>
    <row r="23" spans="1:10" ht="18" customHeight="1">
      <c r="A23" s="25" t="s">
        <v>963</v>
      </c>
      <c r="B23" s="18" t="s">
        <v>964</v>
      </c>
      <c r="C23" s="11">
        <f>'[3]20)资产负债预算表（二）'!C23+'[4]21)资产负债预算表（二）'!C23+'[5]21)资产负债预算表（二）'!C23</f>
        <v>0</v>
      </c>
      <c r="D23" s="11">
        <f>'[3]20)资产负债预算表（二）'!D23+'[4]21)资产负债预算表（二）'!D23+'[5]21)资产负债预算表（二）'!D23</f>
        <v>0</v>
      </c>
      <c r="E23" s="11">
        <f>'[3]20)资产负债预算表（二）'!E23+'[4]21)资产负债预算表（二）'!E23+'[5]21)资产负债预算表（二）'!E23</f>
        <v>0</v>
      </c>
      <c r="F23" s="11">
        <f>'[3]20)资产负债预算表（二）'!F23+'[4]21)资产负债预算表（二）'!F23+'[5]21)资产负债预算表（二）'!F23</f>
        <v>0</v>
      </c>
      <c r="G23" s="11">
        <f>'[3]20)资产负债预算表（二）'!G23+'[4]21)资产负债预算表（二）'!G23+'[5]21)资产负债预算表（二）'!G23</f>
        <v>0</v>
      </c>
      <c r="H23" s="11">
        <f>'[3]20)资产负债预算表（二）'!H23+'[4]21)资产负债预算表（二）'!H23+'[5]21)资产负债预算表（二）'!H23</f>
        <v>0</v>
      </c>
      <c r="I23" s="11">
        <f>'[3]20)资产负债预算表（二）'!I23+'[4]21)资产负债预算表（二）'!I23+'[5]21)资产负债预算表（二）'!I23</f>
        <v>0</v>
      </c>
      <c r="J23" s="5"/>
    </row>
    <row r="24" spans="1:10" ht="18" customHeight="1">
      <c r="A24" s="25" t="s">
        <v>965</v>
      </c>
      <c r="B24" s="18" t="s">
        <v>966</v>
      </c>
      <c r="C24" s="11">
        <f>'[3]20)资产负债预算表（二）'!C24+'[4]21)资产负债预算表（二）'!C24+'[5]21)资产负债预算表（二）'!C24</f>
        <v>0</v>
      </c>
      <c r="D24" s="11">
        <f>'[3]20)资产负债预算表（二）'!D24+'[4]21)资产负债预算表（二）'!D24+'[5]21)资产负债预算表（二）'!D24</f>
        <v>0</v>
      </c>
      <c r="E24" s="11">
        <f>'[3]20)资产负债预算表（二）'!E24+'[4]21)资产负债预算表（二）'!E24+'[5]21)资产负债预算表（二）'!E24</f>
        <v>0</v>
      </c>
      <c r="F24" s="11">
        <f>'[3]20)资产负债预算表（二）'!F24+'[4]21)资产负债预算表（二）'!F24+'[5]21)资产负债预算表（二）'!F24</f>
        <v>0</v>
      </c>
      <c r="G24" s="11">
        <f>'[3]20)资产负债预算表（二）'!G24+'[4]21)资产负债预算表（二）'!G24+'[5]21)资产负债预算表（二）'!G24</f>
        <v>0</v>
      </c>
      <c r="H24" s="11">
        <f>'[3]20)资产负债预算表（二）'!H24+'[4]21)资产负债预算表（二）'!H24+'[5]21)资产负债预算表（二）'!H24</f>
        <v>0</v>
      </c>
      <c r="I24" s="11">
        <f>'[3]20)资产负债预算表（二）'!I24+'[4]21)资产负债预算表（二）'!I24+'[5]21)资产负债预算表（二）'!I24</f>
        <v>0</v>
      </c>
      <c r="J24" s="5"/>
    </row>
    <row r="25" spans="1:10" ht="18" customHeight="1">
      <c r="A25" s="25" t="s">
        <v>967</v>
      </c>
      <c r="B25" s="18" t="s">
        <v>968</v>
      </c>
      <c r="C25" s="11">
        <f>'[3]20)资产负债预算表（二）'!C25+'[4]21)资产负债预算表（二）'!C25+'[5]21)资产负债预算表（二）'!C25</f>
        <v>0</v>
      </c>
      <c r="D25" s="11">
        <f>'[3]20)资产负债预算表（二）'!D25+'[4]21)资产负债预算表（二）'!D25+'[5]21)资产负债预算表（二）'!D25</f>
        <v>0</v>
      </c>
      <c r="E25" s="11">
        <f>'[3]20)资产负债预算表（二）'!E25+'[4]21)资产负债预算表（二）'!E25+'[5]21)资产负债预算表（二）'!E25</f>
        <v>0</v>
      </c>
      <c r="F25" s="11">
        <f>'[3]20)资产负债预算表（二）'!F25+'[4]21)资产负债预算表（二）'!F25+'[5]21)资产负债预算表（二）'!F25</f>
        <v>0</v>
      </c>
      <c r="G25" s="11">
        <f>'[3]20)资产负债预算表（二）'!G25+'[4]21)资产负债预算表（二）'!G25+'[5]21)资产负债预算表（二）'!G25</f>
        <v>0</v>
      </c>
      <c r="H25" s="11">
        <f>'[3]20)资产负债预算表（二）'!H25+'[4]21)资产负债预算表（二）'!H25+'[5]21)资产负债预算表（二）'!H25</f>
        <v>0</v>
      </c>
      <c r="I25" s="11">
        <f>'[3]20)资产负债预算表（二）'!I25+'[4]21)资产负债预算表（二）'!I25+'[5]21)资产负债预算表（二）'!I25</f>
        <v>0</v>
      </c>
      <c r="J25" s="5"/>
    </row>
    <row r="26" spans="1:10" ht="18" customHeight="1">
      <c r="A26" s="25" t="s">
        <v>969</v>
      </c>
      <c r="B26" s="18" t="s">
        <v>970</v>
      </c>
      <c r="C26" s="11">
        <f>'[3]20)资产负债预算表（二）'!C26+'[4]21)资产负债预算表（二）'!C26+'[5]21)资产负债预算表（二）'!C26</f>
        <v>0</v>
      </c>
      <c r="D26" s="11">
        <f>'[3]20)资产负债预算表（二）'!D26+'[4]21)资产负债预算表（二）'!D26+'[5]21)资产负债预算表（二）'!D26</f>
        <v>0</v>
      </c>
      <c r="E26" s="11">
        <f>'[3]20)资产负债预算表（二）'!E26+'[4]21)资产负债预算表（二）'!E26+'[5]21)资产负债预算表（二）'!E26</f>
        <v>0</v>
      </c>
      <c r="F26" s="11">
        <f>'[3]20)资产负债预算表（二）'!F26+'[4]21)资产负债预算表（二）'!F26+'[5]21)资产负债预算表（二）'!F26</f>
        <v>0</v>
      </c>
      <c r="G26" s="11">
        <f>'[3]20)资产负债预算表（二）'!G26+'[4]21)资产负债预算表（二）'!G26+'[5]21)资产负债预算表（二）'!G26</f>
        <v>0</v>
      </c>
      <c r="H26" s="11">
        <f>'[3]20)资产负债预算表（二）'!H26+'[4]21)资产负债预算表（二）'!H26+'[5]21)资产负债预算表（二）'!H26</f>
        <v>0</v>
      </c>
      <c r="I26" s="11">
        <f>'[3]20)资产负债预算表（二）'!I26+'[4]21)资产负债预算表（二）'!I26+'[5]21)资产负债预算表（二）'!I26</f>
        <v>0</v>
      </c>
      <c r="J26" s="5"/>
    </row>
    <row r="27" spans="1:10" ht="18" customHeight="1">
      <c r="A27" s="25" t="s">
        <v>971</v>
      </c>
      <c r="B27" s="18" t="s">
        <v>972</v>
      </c>
      <c r="C27" s="11">
        <f>'[3]20)资产负债预算表（二）'!C27+'[4]21)资产负债预算表（二）'!C27+'[5]21)资产负债预算表（二）'!C27</f>
        <v>0</v>
      </c>
      <c r="D27" s="11">
        <f>'[3]20)资产负债预算表（二）'!D27+'[4]21)资产负债预算表（二）'!D27+'[5]21)资产负债预算表（二）'!D27</f>
        <v>0</v>
      </c>
      <c r="E27" s="11">
        <f>'[3]20)资产负债预算表（二）'!E27+'[4]21)资产负债预算表（二）'!E27+'[5]21)资产负债预算表（二）'!E27</f>
        <v>0</v>
      </c>
      <c r="F27" s="11">
        <f>'[3]20)资产负债预算表（二）'!F27+'[4]21)资产负债预算表（二）'!F27+'[5]21)资产负债预算表（二）'!F27</f>
        <v>0</v>
      </c>
      <c r="G27" s="11">
        <f>'[3]20)资产负债预算表（二）'!G27+'[4]21)资产负债预算表（二）'!G27+'[5]21)资产负债预算表（二）'!G27</f>
        <v>0</v>
      </c>
      <c r="H27" s="11">
        <f>'[3]20)资产负债预算表（二）'!H27+'[4]21)资产负债预算表（二）'!H27+'[5]21)资产负债预算表（二）'!H27</f>
        <v>0</v>
      </c>
      <c r="I27" s="11">
        <f>'[3]20)资产负债预算表（二）'!I27+'[4]21)资产负债预算表（二）'!I27+'[5]21)资产负债预算表（二）'!I27</f>
        <v>0</v>
      </c>
      <c r="J27" s="5"/>
    </row>
    <row r="28" spans="1:10" ht="18" customHeight="1">
      <c r="A28" s="25" t="s">
        <v>973</v>
      </c>
      <c r="B28" s="18" t="s">
        <v>974</v>
      </c>
      <c r="C28" s="11">
        <v>849944.7299999092</v>
      </c>
      <c r="D28" s="11">
        <v>1471413.0575001193</v>
      </c>
      <c r="E28" s="11">
        <f>'[3]20)资产负债预算表（二）'!E28+'[4]21)资产负债预算表（二）'!E28+'[5]21)资产负债预算表（二）'!E28</f>
        <v>4704773.41</v>
      </c>
      <c r="F28" s="11">
        <f>'[3]20)资产负债预算表（二）'!F28+'[4]21)资产负债预算表（二）'!F28+'[5]21)资产负债预算表（二）'!F28</f>
        <v>4511328.864291865</v>
      </c>
      <c r="G28" s="11">
        <f>'[3]20)资产负债预算表（二）'!G28+'[4]21)资产负债预算表（二）'!G28+'[5]21)资产负债预算表（二）'!G28</f>
        <v>4593608.369316786</v>
      </c>
      <c r="H28" s="11">
        <f>'[3]20)资产负债预算表（二）'!H28+'[4]21)资产负债预算表（二）'!H28+'[5]21)资产负债预算表（二）'!H28</f>
        <v>4753712.701585328</v>
      </c>
      <c r="I28" s="11">
        <f>'[3]20)资产负债预算表（二）'!I28+'[4]21)资产负债预算表（二）'!I28+'[5]21)资产负债预算表（二）'!I28</f>
        <v>4833486.012944626</v>
      </c>
      <c r="J28" s="5"/>
    </row>
    <row r="29" spans="1:10" ht="18" customHeight="1">
      <c r="A29" s="25" t="s">
        <v>975</v>
      </c>
      <c r="B29" s="18" t="s">
        <v>976</v>
      </c>
      <c r="C29" s="11">
        <f>SUM(C22:C28)</f>
        <v>849944.7299999092</v>
      </c>
      <c r="D29" s="11">
        <f>SUM(D22:D28)</f>
        <v>1471413.0575001193</v>
      </c>
      <c r="E29" s="11">
        <f aca="true" t="shared" si="0" ref="C29:I29">SUM(E22:E28)</f>
        <v>4704773.41</v>
      </c>
      <c r="F29" s="11">
        <f t="shared" si="0"/>
        <v>4511328.864291865</v>
      </c>
      <c r="G29" s="11">
        <f t="shared" si="0"/>
        <v>4593608.369316786</v>
      </c>
      <c r="H29" s="11">
        <f t="shared" si="0"/>
        <v>4753712.701585328</v>
      </c>
      <c r="I29" s="11">
        <f t="shared" si="0"/>
        <v>4833486.012944626</v>
      </c>
      <c r="J29" s="5"/>
    </row>
    <row r="30" spans="1:10" ht="18" customHeight="1">
      <c r="A30" s="25" t="s">
        <v>977</v>
      </c>
      <c r="B30" s="18" t="s">
        <v>978</v>
      </c>
      <c r="C30" s="11">
        <f>C20+C29</f>
        <v>10124013.28999991</v>
      </c>
      <c r="D30" s="11">
        <f>D20+D29</f>
        <v>6606036.86750012</v>
      </c>
      <c r="E30" s="11">
        <f aca="true" t="shared" si="1" ref="C30:I30">E20+E29</f>
        <v>12653689.9372</v>
      </c>
      <c r="F30" s="11">
        <f t="shared" si="1"/>
        <v>9178203.162963428</v>
      </c>
      <c r="G30" s="11">
        <f t="shared" si="1"/>
        <v>9941074.143637583</v>
      </c>
      <c r="H30" s="11">
        <f t="shared" si="1"/>
        <v>10875415.357332077</v>
      </c>
      <c r="I30" s="11">
        <f t="shared" si="1"/>
        <v>11788405.118987568</v>
      </c>
      <c r="J30" s="5"/>
    </row>
    <row r="31" spans="1:10" ht="18" customHeight="1">
      <c r="A31" s="25" t="s">
        <v>979</v>
      </c>
      <c r="B31" s="18" t="s">
        <v>530</v>
      </c>
      <c r="C31" s="18" t="s">
        <v>530</v>
      </c>
      <c r="D31" s="18" t="s">
        <v>530</v>
      </c>
      <c r="E31" s="18" t="s">
        <v>530</v>
      </c>
      <c r="F31" s="18" t="s">
        <v>530</v>
      </c>
      <c r="G31" s="18" t="s">
        <v>530</v>
      </c>
      <c r="H31" s="18" t="s">
        <v>530</v>
      </c>
      <c r="I31" s="18" t="s">
        <v>530</v>
      </c>
      <c r="J31" s="5"/>
    </row>
    <row r="32" spans="1:10" ht="18" customHeight="1">
      <c r="A32" s="25" t="s">
        <v>980</v>
      </c>
      <c r="B32" s="18" t="s">
        <v>981</v>
      </c>
      <c r="C32" s="11">
        <v>50000000</v>
      </c>
      <c r="D32" s="11">
        <v>150000000</v>
      </c>
      <c r="E32" s="11">
        <v>150000000</v>
      </c>
      <c r="F32" s="11">
        <f aca="true" t="shared" si="2" ref="F32:I32">E32</f>
        <v>150000000</v>
      </c>
      <c r="G32" s="11">
        <f t="shared" si="2"/>
        <v>150000000</v>
      </c>
      <c r="H32" s="11">
        <f t="shared" si="2"/>
        <v>150000000</v>
      </c>
      <c r="I32" s="11">
        <f t="shared" si="2"/>
        <v>150000000</v>
      </c>
      <c r="J32" s="5"/>
    </row>
    <row r="33" spans="1:10" ht="18" customHeight="1">
      <c r="A33" s="25" t="s">
        <v>982</v>
      </c>
      <c r="B33" s="18" t="s">
        <v>983</v>
      </c>
      <c r="C33" s="11">
        <f>'[3]20)资产负债预算表（二）'!C33+'[4]21)资产负债预算表（二）'!C33+'[5]21)资产负债预算表（二）'!C33</f>
        <v>974465317.06</v>
      </c>
      <c r="D33" s="11">
        <f>'[3]20)资产负债预算表（二）'!D33+'[4]21)资产负债预算表（二）'!D33+'[5]21)资产负债预算表（二）'!D33</f>
        <v>874465317.06</v>
      </c>
      <c r="E33" s="11">
        <f>'[3]20)资产负债预算表（二）'!E33+'[4]21)资产负债预算表（二）'!E33+'[5]21)资产负债预算表（二）'!E33</f>
        <v>874465317.06</v>
      </c>
      <c r="F33" s="11">
        <f>'[3]20)资产负债预算表（二）'!F33+'[4]21)资产负债预算表（二）'!F33+'[5]21)资产负债预算表（二）'!F33</f>
        <v>874465317.06</v>
      </c>
      <c r="G33" s="11">
        <f>'[3]20)资产负债预算表（二）'!G33+'[4]21)资产负债预算表（二）'!G33+'[5]21)资产负债预算表（二）'!G33</f>
        <v>874465317.06</v>
      </c>
      <c r="H33" s="11">
        <f>'[3]20)资产负债预算表（二）'!H33+'[4]21)资产负债预算表（二）'!H33+'[5]21)资产负债预算表（二）'!H33</f>
        <v>874465317.06</v>
      </c>
      <c r="I33" s="11">
        <f>'[3]20)资产负债预算表（二）'!I33+'[4]21)资产负债预算表（二）'!I33+'[5]21)资产负债预算表（二）'!I33</f>
        <v>874465317.06</v>
      </c>
      <c r="J33" s="5"/>
    </row>
    <row r="34" spans="1:10" ht="18" customHeight="1">
      <c r="A34" s="25" t="s">
        <v>984</v>
      </c>
      <c r="B34" s="18" t="s">
        <v>985</v>
      </c>
      <c r="C34" s="11"/>
      <c r="D34" s="11"/>
      <c r="E34" s="11"/>
      <c r="F34" s="21"/>
      <c r="G34" s="21"/>
      <c r="H34" s="21"/>
      <c r="I34" s="21"/>
      <c r="J34" s="5"/>
    </row>
    <row r="35" spans="1:10" ht="18" customHeight="1">
      <c r="A35" s="25" t="s">
        <v>986</v>
      </c>
      <c r="B35" s="18" t="s">
        <v>987</v>
      </c>
      <c r="C35" s="11">
        <f>'[3]20)资产负债预算表（二）'!C35+'[4]21)资产负债预算表（二）'!C35+'[5]21)资产负债预算表（二）'!C35</f>
        <v>3454636.1</v>
      </c>
      <c r="D35" s="11">
        <f>'[3]20)资产负债预算表（二）'!D35+'[4]21)资产负债预算表（二）'!D35+'[5]21)资产负债预算表（二）'!D35</f>
        <v>4909735.692499999</v>
      </c>
      <c r="E35" s="11">
        <f>C35+'22)利润预算表'!E25</f>
        <v>4127299.5527999997</v>
      </c>
      <c r="F35" s="26">
        <f>E35+'22)利润预算表'!H25</f>
        <v>4841169.262413042</v>
      </c>
      <c r="G35" s="26">
        <f>F35+'22)利润预算表'!I25</f>
        <v>4072194.859017583</v>
      </c>
      <c r="H35" s="26">
        <f>G35+'22)利润预算表'!J25</f>
        <v>4071276.0152692245</v>
      </c>
      <c r="I35" s="26">
        <f>H35+'22)利润预算表'!K25</f>
        <v>6430896.662488866</v>
      </c>
      <c r="J35" s="5"/>
    </row>
    <row r="36" spans="1:10" ht="18" customHeight="1">
      <c r="A36" s="25" t="s">
        <v>988</v>
      </c>
      <c r="B36" s="18" t="s">
        <v>989</v>
      </c>
      <c r="C36" s="11">
        <f>SUM(C32:C35)</f>
        <v>1027919953.16</v>
      </c>
      <c r="D36" s="11">
        <f>D32+D33+D35</f>
        <v>1029375052.7524999</v>
      </c>
      <c r="E36" s="11">
        <f>SUM(E32:E35)</f>
        <v>1028592616.6127999</v>
      </c>
      <c r="F36" s="11">
        <f>SUM(F32:F35)</f>
        <v>1029306486.322413</v>
      </c>
      <c r="G36" s="11">
        <f>SUM(G32:G35)</f>
        <v>1028537511.9190176</v>
      </c>
      <c r="H36" s="11">
        <f>SUM(H32:H35)</f>
        <v>1028536593.0752692</v>
      </c>
      <c r="I36" s="11">
        <f>SUM(I32:I35)</f>
        <v>1030896213.7224888</v>
      </c>
      <c r="J36" s="5"/>
    </row>
    <row r="37" spans="1:10" ht="18" customHeight="1">
      <c r="A37" s="25" t="s">
        <v>990</v>
      </c>
      <c r="B37" s="18" t="s">
        <v>991</v>
      </c>
      <c r="C37" s="21"/>
      <c r="D37" s="21">
        <v>0</v>
      </c>
      <c r="E37" s="21"/>
      <c r="F37" s="21"/>
      <c r="G37" s="21"/>
      <c r="H37" s="21"/>
      <c r="I37" s="21"/>
      <c r="J37" s="5"/>
    </row>
    <row r="38" spans="1:10" ht="18" customHeight="1">
      <c r="A38" s="25" t="s">
        <v>992</v>
      </c>
      <c r="B38" s="18" t="s">
        <v>993</v>
      </c>
      <c r="C38" s="11">
        <f>C36+C37</f>
        <v>1027919953.16</v>
      </c>
      <c r="D38" s="11">
        <f>D36+D37</f>
        <v>1029375052.7524999</v>
      </c>
      <c r="E38" s="11">
        <f>E36+E37</f>
        <v>1028592616.6127999</v>
      </c>
      <c r="F38" s="11">
        <f aca="true" t="shared" si="3" ref="C38:I38">F36+F37</f>
        <v>1029306486.322413</v>
      </c>
      <c r="G38" s="11">
        <f t="shared" si="3"/>
        <v>1028537511.9190176</v>
      </c>
      <c r="H38" s="11">
        <f t="shared" si="3"/>
        <v>1028536593.0752692</v>
      </c>
      <c r="I38" s="11">
        <f t="shared" si="3"/>
        <v>1030896213.7224888</v>
      </c>
      <c r="J38" s="5"/>
    </row>
    <row r="39" spans="1:10" ht="18" customHeight="1">
      <c r="A39" s="25" t="s">
        <v>994</v>
      </c>
      <c r="B39" s="18" t="s">
        <v>995</v>
      </c>
      <c r="C39" s="11">
        <f>C30+C38</f>
        <v>1038043966.4499999</v>
      </c>
      <c r="D39" s="11">
        <f>D30+D38</f>
        <v>1035981089.62</v>
      </c>
      <c r="E39" s="11">
        <f aca="true" t="shared" si="4" ref="C39:I39">E30+E38</f>
        <v>1041246306.5499998</v>
      </c>
      <c r="F39" s="11">
        <f t="shared" si="4"/>
        <v>1038484689.4853764</v>
      </c>
      <c r="G39" s="11">
        <f t="shared" si="4"/>
        <v>1038478586.0626551</v>
      </c>
      <c r="H39" s="11">
        <f t="shared" si="4"/>
        <v>1039412008.4326013</v>
      </c>
      <c r="I39" s="11">
        <f t="shared" si="4"/>
        <v>1042684618.8414763</v>
      </c>
      <c r="J39" s="5"/>
    </row>
    <row r="40" spans="1:10" ht="18" customHeight="1">
      <c r="A40" s="5"/>
      <c r="B40" s="5"/>
      <c r="C40" s="16"/>
      <c r="D40" s="16" t="s">
        <v>497</v>
      </c>
      <c r="E40" s="4" t="s">
        <v>114</v>
      </c>
      <c r="F40" s="5"/>
      <c r="G40" s="5"/>
      <c r="H40" s="16" t="s">
        <v>927</v>
      </c>
      <c r="I40" s="4" t="s">
        <v>111</v>
      </c>
      <c r="J40" s="5"/>
    </row>
    <row r="42" spans="3:9" ht="12.75">
      <c r="C42" s="50">
        <f>'20)资产负债预算表（一）'!C43-C39</f>
        <v>0</v>
      </c>
      <c r="D42" s="50">
        <f>'20)资产负债预算表（一）'!D43-D39</f>
        <v>0</v>
      </c>
      <c r="E42" s="50">
        <f>'20)资产负债预算表（一）'!E43-E39</f>
        <v>0.0028001070022583008</v>
      </c>
      <c r="F42" s="50">
        <f>'20)资产负债预算表（一）'!F43-F39</f>
        <v>0</v>
      </c>
      <c r="G42" s="50">
        <f>'20)资产负债预算表（一）'!G43-G39</f>
        <v>0</v>
      </c>
      <c r="H42" s="50">
        <f>'20)资产负债预算表（一）'!H43-H39</f>
        <v>0</v>
      </c>
      <c r="I42" s="50">
        <f>'20)资产负债预算表（一）'!I43-I39</f>
        <v>-133499.99654567242</v>
      </c>
    </row>
    <row r="43" spans="3:9" ht="12.75" hidden="1">
      <c r="C43" s="42">
        <f>C39-'20)资产负债预算表（一）'!C43</f>
        <v>0</v>
      </c>
      <c r="D43" s="42">
        <f>D39-'20)资产负债预算表（一）'!D43</f>
        <v>0</v>
      </c>
      <c r="E43" s="42">
        <f>E39-'20)资产负债预算表（一）'!E43</f>
        <v>-0.0028001070022583008</v>
      </c>
      <c r="F43" s="42">
        <f>F39-'20)资产负债预算表（一）'!F43</f>
        <v>0</v>
      </c>
      <c r="G43" s="42">
        <f>G39-'20)资产负债预算表（一）'!G43</f>
        <v>0</v>
      </c>
      <c r="H43" s="42">
        <f>H39-'20)资产负债预算表（一）'!H43</f>
        <v>0</v>
      </c>
      <c r="I43" s="42">
        <f>I39-'20)资产负债预算表（一）'!I43</f>
        <v>133499.99654567242</v>
      </c>
    </row>
    <row r="44" spans="3:9" ht="12.75" hidden="1">
      <c r="C44" s="50">
        <f aca="true" t="shared" si="5" ref="C44:I44">-C43</f>
        <v>0</v>
      </c>
      <c r="D44" s="50">
        <f t="shared" si="5"/>
        <v>0</v>
      </c>
      <c r="E44" s="50">
        <f t="shared" si="5"/>
        <v>0.0028001070022583008</v>
      </c>
      <c r="F44" s="50">
        <f t="shared" si="5"/>
        <v>0</v>
      </c>
      <c r="G44" s="50">
        <f t="shared" si="5"/>
        <v>0</v>
      </c>
      <c r="H44" s="50">
        <f t="shared" si="5"/>
        <v>0</v>
      </c>
      <c r="I44" s="50">
        <f t="shared" si="5"/>
        <v>-133499.99654567242</v>
      </c>
    </row>
    <row r="45" spans="6:9" ht="12.75">
      <c r="F45" s="51"/>
      <c r="G45" s="51"/>
      <c r="H45" s="51"/>
      <c r="I45" s="51"/>
    </row>
    <row r="46" spans="3:10" ht="12.75">
      <c r="C46" s="52"/>
      <c r="D46" s="52"/>
      <c r="E46" s="52"/>
      <c r="F46" s="52"/>
      <c r="G46" s="52"/>
      <c r="H46" s="52"/>
      <c r="I46" s="52"/>
      <c r="J46" s="52"/>
    </row>
    <row r="48" ht="12.75">
      <c r="I48" s="52"/>
    </row>
  </sheetData>
  <sheetProtection/>
  <mergeCells count="8">
    <mergeCell ref="A1:J1"/>
    <mergeCell ref="F3:I3"/>
    <mergeCell ref="A3:A4"/>
    <mergeCell ref="B3:B4"/>
    <mergeCell ref="C3:C4"/>
    <mergeCell ref="D3:D4"/>
    <mergeCell ref="E3:E4"/>
    <mergeCell ref="J3:J4"/>
  </mergeCells>
  <printOptions/>
  <pageMargins left="1.14" right="0.35" top="0.51" bottom="0.35" header="0.23999999999999996" footer="0.28"/>
  <pageSetup fitToHeight="1" fitToWidth="1" horizontalDpi="300" verticalDpi="300" orientation="landscape" paperSize="9" scale="75"/>
</worksheet>
</file>

<file path=xl/worksheets/sheet38.xml><?xml version="1.0" encoding="utf-8"?>
<worksheet xmlns="http://schemas.openxmlformats.org/spreadsheetml/2006/main" xmlns:r="http://schemas.openxmlformats.org/officeDocument/2006/relationships">
  <sheetPr>
    <pageSetUpPr fitToPage="1"/>
  </sheetPr>
  <dimension ref="A1:Q33"/>
  <sheetViews>
    <sheetView tabSelected="1" workbookViewId="0" topLeftCell="A6">
      <selection activeCell="K25" sqref="K25"/>
    </sheetView>
  </sheetViews>
  <sheetFormatPr defaultColWidth="9.140625" defaultRowHeight="12.75"/>
  <cols>
    <col min="1" max="1" width="36.28125" style="0" customWidth="1"/>
    <col min="2" max="5" width="12.8515625" style="0" customWidth="1"/>
    <col min="6" max="6" width="9.140625" style="0" customWidth="1"/>
    <col min="7" max="11" width="13.00390625" style="0" customWidth="1"/>
    <col min="12" max="12" width="9.140625" style="0" customWidth="1"/>
    <col min="13" max="13" width="10.00390625" style="0" customWidth="1"/>
    <col min="15" max="15" width="9.140625" style="0" customWidth="1"/>
    <col min="16" max="16" width="19.8515625" style="0" customWidth="1"/>
    <col min="17" max="17" width="14.421875" style="0" customWidth="1"/>
    <col min="18" max="19" width="10.57421875" style="0" customWidth="1"/>
  </cols>
  <sheetData>
    <row r="1" spans="1:13" ht="24" customHeight="1">
      <c r="A1" s="23" t="s">
        <v>996</v>
      </c>
      <c r="B1" s="23"/>
      <c r="C1" s="23" t="s">
        <v>996</v>
      </c>
      <c r="D1" s="23" t="s">
        <v>996</v>
      </c>
      <c r="E1" s="23" t="s">
        <v>996</v>
      </c>
      <c r="F1" s="23"/>
      <c r="G1" s="23" t="s">
        <v>996</v>
      </c>
      <c r="H1" s="23" t="s">
        <v>996</v>
      </c>
      <c r="I1" s="23" t="s">
        <v>996</v>
      </c>
      <c r="J1" s="23" t="s">
        <v>996</v>
      </c>
      <c r="K1" s="23" t="s">
        <v>996</v>
      </c>
      <c r="L1" s="23" t="s">
        <v>996</v>
      </c>
      <c r="M1" s="23" t="s">
        <v>996</v>
      </c>
    </row>
    <row r="2" spans="1:13" ht="18" customHeight="1">
      <c r="A2" s="5" t="s">
        <v>287</v>
      </c>
      <c r="B2" s="5"/>
      <c r="C2" s="3"/>
      <c r="D2" s="3"/>
      <c r="E2" s="3"/>
      <c r="F2" s="3"/>
      <c r="G2" s="24" t="s">
        <v>288</v>
      </c>
      <c r="H2" s="5"/>
      <c r="I2" s="5"/>
      <c r="J2" s="5"/>
      <c r="K2" s="5"/>
      <c r="L2" s="16" t="s">
        <v>1</v>
      </c>
      <c r="M2" s="5"/>
    </row>
    <row r="3" spans="1:13" ht="18" customHeight="1">
      <c r="A3" s="18" t="s">
        <v>290</v>
      </c>
      <c r="B3" s="38" t="s">
        <v>366</v>
      </c>
      <c r="C3" s="38"/>
      <c r="D3" s="38"/>
      <c r="E3" s="38"/>
      <c r="F3" s="39"/>
      <c r="G3" s="9" t="s">
        <v>292</v>
      </c>
      <c r="H3" s="9" t="s">
        <v>292</v>
      </c>
      <c r="I3" s="9" t="s">
        <v>292</v>
      </c>
      <c r="J3" s="9" t="s">
        <v>292</v>
      </c>
      <c r="K3" s="9" t="s">
        <v>292</v>
      </c>
      <c r="L3" s="9" t="s">
        <v>293</v>
      </c>
      <c r="M3" s="18" t="s">
        <v>33</v>
      </c>
    </row>
    <row r="4" spans="1:13" ht="18" customHeight="1">
      <c r="A4" s="18" t="s">
        <v>290</v>
      </c>
      <c r="B4" s="9" t="s">
        <v>294</v>
      </c>
      <c r="C4" s="9" t="s">
        <v>295</v>
      </c>
      <c r="D4" s="9" t="s">
        <v>296</v>
      </c>
      <c r="E4" s="9" t="s">
        <v>745</v>
      </c>
      <c r="F4" s="9" t="s">
        <v>299</v>
      </c>
      <c r="G4" s="9" t="s">
        <v>314</v>
      </c>
      <c r="H4" s="9" t="s">
        <v>324</v>
      </c>
      <c r="I4" s="9" t="s">
        <v>331</v>
      </c>
      <c r="J4" s="9" t="s">
        <v>334</v>
      </c>
      <c r="K4" s="9" t="s">
        <v>336</v>
      </c>
      <c r="L4" s="9" t="s">
        <v>293</v>
      </c>
      <c r="M4" s="18" t="s">
        <v>33</v>
      </c>
    </row>
    <row r="5" spans="1:13" ht="21" customHeight="1">
      <c r="A5" s="25" t="s">
        <v>997</v>
      </c>
      <c r="B5" s="11">
        <f>SUM(B6:B7)</f>
        <v>23210863.66</v>
      </c>
      <c r="C5" s="11">
        <f>SUM(C6:C7)</f>
        <v>16728225.66</v>
      </c>
      <c r="D5" s="11">
        <f>SUM(D6:D7)</f>
        <v>3645565.71</v>
      </c>
      <c r="E5" s="11">
        <f>SUM(E6:E7)</f>
        <v>20373791.37</v>
      </c>
      <c r="F5" s="40">
        <f>E5/B5</f>
        <v>0.877769637030387</v>
      </c>
      <c r="G5" s="11">
        <f>SUM(G6:G7)</f>
        <v>27555609.90062835</v>
      </c>
      <c r="H5" s="11">
        <f>SUM(H6:H7)</f>
        <v>6446151.371132076</v>
      </c>
      <c r="I5" s="11">
        <f>SUM(I6:I7)</f>
        <v>5943618.14402458</v>
      </c>
      <c r="J5" s="11">
        <f>SUM(J6:J7)</f>
        <v>6204997.797735848</v>
      </c>
      <c r="K5" s="11">
        <f>SUM(K6:K7)</f>
        <v>8960842.587735849</v>
      </c>
      <c r="L5" s="41">
        <f>(G5-C5-D5)/(C5+D5)</f>
        <v>0.35250280128044476</v>
      </c>
      <c r="M5" s="5"/>
    </row>
    <row r="6" spans="1:13" ht="21" customHeight="1">
      <c r="A6" s="25" t="s">
        <v>998</v>
      </c>
      <c r="B6" s="11">
        <f>'13)主营业务收支预算表'!B5</f>
        <v>21986675.12</v>
      </c>
      <c r="C6" s="11">
        <f>'13)主营业务收支预算表'!C5</f>
        <v>16002080.76</v>
      </c>
      <c r="D6" s="11">
        <f>'13)主营业务收支预算表'!D5</f>
        <v>3570771.7199999997</v>
      </c>
      <c r="E6" s="11">
        <f>C6+D6</f>
        <v>19572852.48</v>
      </c>
      <c r="F6" s="40">
        <f aca="true" t="shared" si="0" ref="F6:F30">E6/B6</f>
        <v>0.8902142944840129</v>
      </c>
      <c r="G6" s="11">
        <f>SUM(H6:K6)</f>
        <v>22954941.052830186</v>
      </c>
      <c r="H6" s="11">
        <f>'13)主营业务收支预算表'!H5</f>
        <v>6371357.381132076</v>
      </c>
      <c r="I6" s="11">
        <f>'13)主营业务收支预算表'!I5</f>
        <v>5538294.796226415</v>
      </c>
      <c r="J6" s="11">
        <f>'13)主营业务收支预算表'!J5</f>
        <v>5425248.437735848</v>
      </c>
      <c r="K6" s="11">
        <f>'13)主营业务收支预算表'!K5</f>
        <v>5620040.437735848</v>
      </c>
      <c r="L6" s="41">
        <f aca="true" t="shared" si="1" ref="L6:L30">(G6-C6-D6)/(C6+D6)</f>
        <v>0.17279487373064725</v>
      </c>
      <c r="M6" s="5"/>
    </row>
    <row r="7" spans="1:13" ht="21" customHeight="1">
      <c r="A7" s="25" t="s">
        <v>710</v>
      </c>
      <c r="B7" s="11">
        <f>'14)其他业务收支预算表'!B6</f>
        <v>1224188.54</v>
      </c>
      <c r="C7" s="11">
        <f>'14)其他业务收支预算表'!C6</f>
        <v>726144.8999999999</v>
      </c>
      <c r="D7" s="11">
        <f>'14)其他业务收支预算表'!D6</f>
        <v>74793.99</v>
      </c>
      <c r="E7" s="11">
        <f>C7+D7</f>
        <v>800938.8899999999</v>
      </c>
      <c r="F7" s="40">
        <f t="shared" si="0"/>
        <v>0.6542610585130946</v>
      </c>
      <c r="G7" s="11">
        <f>SUM(H7:K7)</f>
        <v>4600668.847798165</v>
      </c>
      <c r="H7" s="11">
        <f>'14)其他业务收支预算表'!H6</f>
        <v>74793.99</v>
      </c>
      <c r="I7" s="11">
        <f>'14)其他业务收支预算表'!I6</f>
        <v>405323.3477981651</v>
      </c>
      <c r="J7" s="11">
        <f>'14)其他业务收支预算表'!J6</f>
        <v>779749.3600000001</v>
      </c>
      <c r="K7" s="11">
        <f>'14)其他业务收支预算表'!K6</f>
        <v>3340802.15</v>
      </c>
      <c r="L7" s="41">
        <f t="shared" si="1"/>
        <v>4.744094718385026</v>
      </c>
      <c r="M7" s="5"/>
    </row>
    <row r="8" spans="1:13" ht="21" customHeight="1">
      <c r="A8" s="25" t="s">
        <v>999</v>
      </c>
      <c r="B8" s="11">
        <f>SUM(B9:B10)</f>
        <v>8271295.309999997</v>
      </c>
      <c r="C8" s="11">
        <f>SUM(C9:C10)</f>
        <v>5872215.459999999</v>
      </c>
      <c r="D8" s="11">
        <f>SUM(D9:D10)</f>
        <v>1945419.6800000002</v>
      </c>
      <c r="E8" s="11">
        <f>SUM(E9:E10)</f>
        <v>7817635.14</v>
      </c>
      <c r="F8" s="40">
        <f t="shared" si="0"/>
        <v>0.9451524636713766</v>
      </c>
      <c r="G8" s="11">
        <f>SUM(G9:G10)</f>
        <v>10072064.610253781</v>
      </c>
      <c r="H8" s="11">
        <f>SUM(H9:H10)</f>
        <v>2377794.934953782</v>
      </c>
      <c r="I8" s="11">
        <f>SUM(I9:I10)</f>
        <v>2590506.3375000004</v>
      </c>
      <c r="J8" s="11">
        <f>SUM(J9:J10)</f>
        <v>2568042.56545</v>
      </c>
      <c r="K8" s="11">
        <f>SUM(K9:K10)</f>
        <v>2535720.77235</v>
      </c>
      <c r="L8" s="41">
        <f t="shared" si="1"/>
        <v>0.2883774223126231</v>
      </c>
      <c r="M8" s="5"/>
    </row>
    <row r="9" spans="1:13" ht="21" customHeight="1">
      <c r="A9" s="25" t="s">
        <v>1000</v>
      </c>
      <c r="B9" s="11">
        <f>'13)主营业务收支预算表'!B24</f>
        <v>8046913.309999997</v>
      </c>
      <c r="C9" s="11">
        <f>'13)主营业务收支预算表'!C24</f>
        <v>5686759.039999999</v>
      </c>
      <c r="D9" s="11">
        <f>'13)主营业务收支预算表'!D24</f>
        <v>686593.64</v>
      </c>
      <c r="E9" s="11">
        <f>'13)主营业务收支预算表'!E24</f>
        <v>6373352.68</v>
      </c>
      <c r="F9" s="40">
        <f t="shared" si="0"/>
        <v>0.7920245235001795</v>
      </c>
      <c r="G9" s="11">
        <f>SUM(H9:K9)</f>
        <v>9010869.650253782</v>
      </c>
      <c r="H9" s="11">
        <f>'13)主营业务收支预算表'!H24</f>
        <v>1999633.6949537816</v>
      </c>
      <c r="I9" s="11">
        <f>'13)主营业务收支预算表'!I24</f>
        <v>2366245.0975</v>
      </c>
      <c r="J9" s="11">
        <f>'13)主营业务收支预算表'!J24</f>
        <v>2341281.32545</v>
      </c>
      <c r="K9" s="11">
        <f>'13)主营业务收支预算表'!K24</f>
        <v>2303709.53235</v>
      </c>
      <c r="L9" s="41">
        <f t="shared" si="1"/>
        <v>0.41383508848184175</v>
      </c>
      <c r="M9" s="5"/>
    </row>
    <row r="10" spans="1:13" ht="21" customHeight="1">
      <c r="A10" s="25" t="s">
        <v>714</v>
      </c>
      <c r="B10" s="11">
        <f>'14)其他业务收支预算表'!B10</f>
        <v>224382.00000000003</v>
      </c>
      <c r="C10" s="11">
        <f>'14)其他业务收支预算表'!C10</f>
        <v>185456.41999999998</v>
      </c>
      <c r="D10" s="11">
        <f>'14)其他业务收支预算表'!D10</f>
        <v>1258826.04</v>
      </c>
      <c r="E10" s="11">
        <f>C10+D10</f>
        <v>1444282.46</v>
      </c>
      <c r="F10" s="40">
        <f t="shared" si="0"/>
        <v>6.436712659660756</v>
      </c>
      <c r="G10" s="11">
        <f>SUM(H10:K10)</f>
        <v>1061194.96</v>
      </c>
      <c r="H10" s="11">
        <f>'14)其他业务收支预算表'!H10</f>
        <v>378161.24</v>
      </c>
      <c r="I10" s="11">
        <f>'14)其他业务收支预算表'!I10</f>
        <v>224261.24000000002</v>
      </c>
      <c r="J10" s="11">
        <f>'14)其他业务收支预算表'!J10</f>
        <v>226761.24000000002</v>
      </c>
      <c r="K10" s="11">
        <f>'14)其他业务收支预算表'!K10</f>
        <v>232011.24000000002</v>
      </c>
      <c r="L10" s="41">
        <f t="shared" si="1"/>
        <v>-0.2652441683741005</v>
      </c>
      <c r="M10" s="5"/>
    </row>
    <row r="11" spans="1:13" ht="21" customHeight="1">
      <c r="A11" s="25" t="s">
        <v>1001</v>
      </c>
      <c r="B11" s="26">
        <f>'[3]21)利润预算表'!$B$11+'[5]22)利润预算表'!$B$11+'[4]22)利润预算表'!$B$11</f>
        <v>178846.37884000002</v>
      </c>
      <c r="C11" s="26">
        <f>'16)税金预算表'!B22+'16)税金预算表'!B27+'16)税金预算表'!B32+'16)税金预算表'!B42+'16)税金预算表'!B62</f>
        <v>449626.29000000004</v>
      </c>
      <c r="D11" s="26">
        <f>'16)税金预算表'!C22+'16)税金预算表'!C27+'16)税金预算表'!C32+'16)税金预算表'!C42+'16)税金预算表'!C62</f>
        <v>60036.11720000001</v>
      </c>
      <c r="E11" s="11">
        <f>C11+D11</f>
        <v>509662.4072</v>
      </c>
      <c r="F11" s="40">
        <f t="shared" si="0"/>
        <v>2.8497217025341923</v>
      </c>
      <c r="G11" s="11">
        <f>SUM(H11:K11)</f>
        <v>294610.2866523711</v>
      </c>
      <c r="H11" s="26">
        <f>'16)税金预算表'!F22+'16)税金预算表'!F27+'16)税金预算表'!F32+'16)税金预算表'!F42+'16)税金预算表'!F62</f>
        <v>72185.7335735849</v>
      </c>
      <c r="I11" s="26">
        <f>'16)税金预算表'!G22+'16)税金预算表'!G27+'16)税金预算表'!G32+'16)税金预算表'!G42+'16)税金预算表'!G62</f>
        <v>74856.79512837113</v>
      </c>
      <c r="J11" s="26">
        <f>'16)税金预算表'!H22+'16)税金预算表'!H27+'16)税金预算表'!H32+'16)税金预算表'!H42+'16)税金预算表'!H62</f>
        <v>73803.31790920754</v>
      </c>
      <c r="K11" s="26">
        <f>'16)税金预算表'!I22+'16)税金预算表'!I27+'16)税金预算表'!I32+'16)税金预算表'!I42+'16)税金预算表'!I62</f>
        <v>73764.44004120755</v>
      </c>
      <c r="L11" s="41">
        <f t="shared" si="1"/>
        <v>-0.4219501330872907</v>
      </c>
      <c r="M11" s="5"/>
    </row>
    <row r="12" spans="1:13" ht="21" customHeight="1">
      <c r="A12" s="25" t="s">
        <v>1002</v>
      </c>
      <c r="B12" s="11">
        <f>SUM(B13:B15)</f>
        <v>13654964.764666667</v>
      </c>
      <c r="C12" s="11">
        <f>SUM(C13:C15)</f>
        <v>8323664.789999999</v>
      </c>
      <c r="D12" s="11">
        <f>SUM(D13:D15)</f>
        <v>2771811.2400000007</v>
      </c>
      <c r="E12" s="11">
        <f>SUM(E13:E15)</f>
        <v>11095476.03</v>
      </c>
      <c r="F12" s="40">
        <f t="shared" si="0"/>
        <v>0.8125598433406761</v>
      </c>
      <c r="G12" s="11">
        <f>SUM(G13:G15)</f>
        <v>14436635.364033334</v>
      </c>
      <c r="H12" s="11">
        <f>SUM(H13:H15)</f>
        <v>3280300.9929916672</v>
      </c>
      <c r="I12" s="11">
        <f>SUM(I13:I15)</f>
        <v>4050829.4147916664</v>
      </c>
      <c r="J12" s="11">
        <f>SUM(J13:J15)</f>
        <v>3562070.7581249997</v>
      </c>
      <c r="K12" s="11">
        <f>SUM(K13:K15)</f>
        <v>3543434.198125</v>
      </c>
      <c r="L12" s="41">
        <f t="shared" si="1"/>
        <v>0.3011280746314527</v>
      </c>
      <c r="M12" s="5"/>
    </row>
    <row r="13" spans="1:13" ht="21" customHeight="1">
      <c r="A13" s="25" t="s">
        <v>1003</v>
      </c>
      <c r="B13" s="11">
        <f>'17)销售（经营）费用预算表'!B5</f>
        <v>499063.52</v>
      </c>
      <c r="C13" s="11">
        <f>'17)销售（经营）费用预算表'!C5</f>
        <v>163391.02</v>
      </c>
      <c r="D13" s="11">
        <f>'17)销售（经营）费用预算表'!D5</f>
        <v>54143.310000000005</v>
      </c>
      <c r="E13" s="11">
        <f>C13+D13</f>
        <v>217534.33</v>
      </c>
      <c r="F13" s="40">
        <f t="shared" si="0"/>
        <v>0.4358850552731243</v>
      </c>
      <c r="G13" s="11">
        <f>SUM(H13:K13)</f>
        <v>378848.7466666667</v>
      </c>
      <c r="H13" s="11">
        <f>'17)销售（经营）费用预算表'!H5</f>
        <v>93830.18666666668</v>
      </c>
      <c r="I13" s="11">
        <f>'17)销售（经营）费用预算表'!I5</f>
        <v>95630.18666666668</v>
      </c>
      <c r="J13" s="11">
        <f>'17)销售（经营）费用预算表'!J5</f>
        <v>95462.18666666668</v>
      </c>
      <c r="K13" s="11">
        <f>'17)销售（经营）费用预算表'!K5</f>
        <v>93926.18666666668</v>
      </c>
      <c r="L13" s="41">
        <f t="shared" si="1"/>
        <v>0.7415584320261851</v>
      </c>
      <c r="M13" s="5"/>
    </row>
    <row r="14" spans="1:13" ht="21" customHeight="1">
      <c r="A14" s="25" t="s">
        <v>1004</v>
      </c>
      <c r="B14" s="11">
        <f>'18)管理费用预算表'!B5</f>
        <v>13311066.244666668</v>
      </c>
      <c r="C14" s="11">
        <f>'18)管理费用预算表'!C5</f>
        <v>8612879.2</v>
      </c>
      <c r="D14" s="11">
        <f>'18)管理费用预算表'!D5</f>
        <v>2842584.3900000006</v>
      </c>
      <c r="E14" s="11">
        <f>C14+D14</f>
        <v>11455463.59</v>
      </c>
      <c r="F14" s="40">
        <f t="shared" si="0"/>
        <v>0.8605969934669846</v>
      </c>
      <c r="G14" s="11">
        <f>SUM(H14:K14)</f>
        <v>14558152.457366668</v>
      </c>
      <c r="H14" s="11">
        <f>'18)管理费用预算表'!H5</f>
        <v>3311687.2663250007</v>
      </c>
      <c r="I14" s="11">
        <f>'18)管理费用预算表'!I5</f>
        <v>4080415.688125</v>
      </c>
      <c r="J14" s="11">
        <f>'18)管理费用预算表'!J5</f>
        <v>3591425.031458333</v>
      </c>
      <c r="K14" s="11">
        <f>'18)管理费用预算表'!K5</f>
        <v>3574624.4714583335</v>
      </c>
      <c r="L14" s="41">
        <f t="shared" si="1"/>
        <v>0.2708479532923615</v>
      </c>
      <c r="M14" s="5"/>
    </row>
    <row r="15" spans="1:13" ht="21" customHeight="1">
      <c r="A15" s="25" t="s">
        <v>1005</v>
      </c>
      <c r="B15" s="11">
        <f>'19)财务费用预算表'!B5</f>
        <v>-155165</v>
      </c>
      <c r="C15" s="11">
        <f>'19)财务费用预算表'!C5</f>
        <v>-452605.43000000005</v>
      </c>
      <c r="D15" s="11">
        <f>'19)财务费用预算表'!D5</f>
        <v>-124916.46</v>
      </c>
      <c r="E15" s="11">
        <f>C15+D15</f>
        <v>-577521.89</v>
      </c>
      <c r="F15" s="40">
        <f t="shared" si="0"/>
        <v>3.721985563754713</v>
      </c>
      <c r="G15" s="11">
        <f>SUM(H15:K15)</f>
        <v>-500365.84</v>
      </c>
      <c r="H15" s="11">
        <f>'19)财务费用预算表'!H5</f>
        <v>-125216.46</v>
      </c>
      <c r="I15" s="11">
        <f>'19)财务费用预算表'!I5</f>
        <v>-125216.46</v>
      </c>
      <c r="J15" s="11">
        <f>'19)财务费用预算表'!J5</f>
        <v>-124816.46</v>
      </c>
      <c r="K15" s="11">
        <f>'19)财务费用预算表'!K5</f>
        <v>-125116.46</v>
      </c>
      <c r="L15" s="41">
        <f t="shared" si="1"/>
        <v>-0.13359848576475608</v>
      </c>
      <c r="M15" s="5"/>
    </row>
    <row r="16" spans="1:17" ht="21" customHeight="1">
      <c r="A16" s="25" t="s">
        <v>1006</v>
      </c>
      <c r="B16" s="11">
        <f>B5-B11-B8-B12</f>
        <v>1105757.2064933367</v>
      </c>
      <c r="C16" s="11">
        <f>C5-C11-C8-C12</f>
        <v>2082719.120000003</v>
      </c>
      <c r="D16" s="11">
        <f>D5-D11-D8-D12</f>
        <v>-1131701.327200001</v>
      </c>
      <c r="E16" s="11">
        <f>E5-E11-E8-E12</f>
        <v>951017.7927999999</v>
      </c>
      <c r="F16" s="40">
        <f t="shared" si="0"/>
        <v>0.8600602258934776</v>
      </c>
      <c r="G16" s="11">
        <f>G5-G11-G8-G12</f>
        <v>2752299.6396888644</v>
      </c>
      <c r="H16" s="11">
        <f>H5-H11-H8-H12</f>
        <v>715869.709613042</v>
      </c>
      <c r="I16" s="11">
        <f>I5-I11-I8-I12</f>
        <v>-772574.4033954586</v>
      </c>
      <c r="J16" s="11">
        <f>J5-J11-J8-J12</f>
        <v>1081.156251641456</v>
      </c>
      <c r="K16" s="11">
        <f>K5-K11-K8-K12</f>
        <v>2807923.1772196414</v>
      </c>
      <c r="L16" s="41">
        <f t="shared" si="1"/>
        <v>1.8940569361857045</v>
      </c>
      <c r="M16" s="5"/>
      <c r="Q16" s="42"/>
    </row>
    <row r="17" spans="1:13" ht="21" customHeight="1">
      <c r="A17" s="25" t="s">
        <v>1007</v>
      </c>
      <c r="B17" s="11">
        <f>'[3]21)利润预算表'!B17+'[5]22)利润预算表'!B17+'[4]22)利润预算表'!B17</f>
        <v>0</v>
      </c>
      <c r="C17" s="11">
        <f>'[3]21)利润预算表'!C17+'[5]22)利润预算表'!C17+'[4]22)利润预算表'!C17</f>
        <v>0</v>
      </c>
      <c r="D17" s="11">
        <f>'[3]21)利润预算表'!D17+'[5]22)利润预算表'!D17+'[4]22)利润预算表'!D17</f>
        <v>0</v>
      </c>
      <c r="E17" s="11">
        <f>C17+D17</f>
        <v>0</v>
      </c>
      <c r="F17" s="40" t="e">
        <f t="shared" si="0"/>
        <v>#DIV/0!</v>
      </c>
      <c r="G17" s="11">
        <f>SUM(H17:K17)</f>
        <v>0</v>
      </c>
      <c r="H17" s="12"/>
      <c r="I17" s="12"/>
      <c r="J17" s="12"/>
      <c r="K17" s="12"/>
      <c r="L17" s="41" t="e">
        <f t="shared" si="1"/>
        <v>#DIV/0!</v>
      </c>
      <c r="M17" s="5"/>
    </row>
    <row r="18" spans="1:13" ht="21" customHeight="1">
      <c r="A18" s="25" t="s">
        <v>1008</v>
      </c>
      <c r="B18" s="11">
        <f>'[3]21)利润预算表'!B18+'[5]22)利润预算表'!B18+'[4]22)利润预算表'!B18</f>
        <v>0</v>
      </c>
      <c r="C18" s="11">
        <f>'[3]21)利润预算表'!C18+'[5]22)利润预算表'!C18+'[4]22)利润预算表'!C18</f>
        <v>0</v>
      </c>
      <c r="D18" s="11">
        <f>'[3]21)利润预算表'!D18+'[5]22)利润预算表'!D18+'[4]22)利润预算表'!D18</f>
        <v>0</v>
      </c>
      <c r="E18" s="11">
        <f>C18+D18</f>
        <v>0</v>
      </c>
      <c r="F18" s="40" t="e">
        <f t="shared" si="0"/>
        <v>#DIV/0!</v>
      </c>
      <c r="G18" s="11">
        <f>SUM(H18:K18)</f>
        <v>0</v>
      </c>
      <c r="H18" s="12"/>
      <c r="I18" s="12"/>
      <c r="J18" s="12"/>
      <c r="K18" s="12"/>
      <c r="L18" s="41" t="e">
        <f t="shared" si="1"/>
        <v>#DIV/0!</v>
      </c>
      <c r="M18" s="5"/>
    </row>
    <row r="19" spans="1:13" ht="21" customHeight="1">
      <c r="A19" s="25" t="s">
        <v>1009</v>
      </c>
      <c r="B19" s="11">
        <f>'[3]21)利润预算表'!B19+'[5]22)利润预算表'!B19+'[4]22)利润预算表'!B19</f>
        <v>0</v>
      </c>
      <c r="C19" s="11">
        <f>'[3]21)利润预算表'!C19+'[5]22)利润预算表'!C19+'[4]22)利润预算表'!C19</f>
        <v>3984.6</v>
      </c>
      <c r="D19" s="11">
        <f>'[3]21)利润预算表'!D19+'[5]22)利润预算表'!D19+'[4]22)利润预算表'!D19</f>
        <v>0</v>
      </c>
      <c r="E19" s="11">
        <f>C19+D19</f>
        <v>3984.6</v>
      </c>
      <c r="F19" s="40" t="e">
        <f t="shared" si="0"/>
        <v>#DIV/0!</v>
      </c>
      <c r="G19" s="11">
        <f>SUM(H19:K19)</f>
        <v>0</v>
      </c>
      <c r="H19" s="21"/>
      <c r="I19" s="21"/>
      <c r="J19" s="21"/>
      <c r="K19" s="21"/>
      <c r="L19" s="41">
        <f t="shared" si="1"/>
        <v>-1</v>
      </c>
      <c r="M19" s="5"/>
    </row>
    <row r="20" spans="1:13" ht="21" customHeight="1">
      <c r="A20" s="25" t="s">
        <v>1010</v>
      </c>
      <c r="B20" s="11">
        <f>B16-B17+B18+B19</f>
        <v>1105757.2064933367</v>
      </c>
      <c r="C20" s="11">
        <f>C16-C17+C18+C19</f>
        <v>2086703.720000003</v>
      </c>
      <c r="D20" s="11">
        <f>D16-D17+D18+D19</f>
        <v>-1131701.327200001</v>
      </c>
      <c r="E20" s="11">
        <f>E16-E17+E18+E19</f>
        <v>955002.3927999999</v>
      </c>
      <c r="F20" s="40">
        <f t="shared" si="0"/>
        <v>0.8636637294262615</v>
      </c>
      <c r="G20" s="11">
        <f>G16-G17+G18+G19</f>
        <v>2752299.6396888644</v>
      </c>
      <c r="H20" s="11">
        <f>H16-H17+H18+H19</f>
        <v>715869.709613042</v>
      </c>
      <c r="I20" s="11">
        <f>I16-I17+I18+I19</f>
        <v>-772574.4033954586</v>
      </c>
      <c r="J20" s="11">
        <f>J16-J17+J18+J19</f>
        <v>1081.156251641456</v>
      </c>
      <c r="K20" s="11">
        <f>K16-K17+K18+K19</f>
        <v>2807923.1772196414</v>
      </c>
      <c r="L20" s="41">
        <f t="shared" si="1"/>
        <v>1.881981930557587</v>
      </c>
      <c r="M20" s="5"/>
    </row>
    <row r="21" spans="1:13" ht="21" customHeight="1">
      <c r="A21" s="25" t="s">
        <v>1011</v>
      </c>
      <c r="B21" s="11">
        <f>'15)营业外收支预算表'!B5</f>
        <v>224382</v>
      </c>
      <c r="C21" s="11">
        <f>'15)营业外收支预算表'!C5</f>
        <v>418076.87999999995</v>
      </c>
      <c r="D21" s="11">
        <f>'15)营业外收支预算表'!D5</f>
        <v>66026.04000000001</v>
      </c>
      <c r="E21" s="11">
        <f>C21+D21</f>
        <v>484102.9199999999</v>
      </c>
      <c r="F21" s="40">
        <f t="shared" si="0"/>
        <v>2.157494451426585</v>
      </c>
      <c r="G21" s="11">
        <f>SUM(H21:K21)</f>
        <v>5600</v>
      </c>
      <c r="H21" s="11">
        <f>'15)营业外收支预算表'!H5</f>
        <v>0</v>
      </c>
      <c r="I21" s="11">
        <f>'15)营业外收支预算表'!I5</f>
        <v>5600</v>
      </c>
      <c r="J21" s="11">
        <f>'15)营业外收支预算表'!J5</f>
        <v>0</v>
      </c>
      <c r="K21" s="11">
        <f>'15)营业外收支预算表'!K5</f>
        <v>0</v>
      </c>
      <c r="L21" s="41">
        <f t="shared" si="1"/>
        <v>-0.9884322118941155</v>
      </c>
      <c r="M21" s="5"/>
    </row>
    <row r="22" spans="1:13" ht="21" customHeight="1">
      <c r="A22" s="25" t="s">
        <v>1012</v>
      </c>
      <c r="B22" s="11">
        <f>'15)营业外收支预算表'!B16</f>
        <v>120000</v>
      </c>
      <c r="C22" s="11">
        <f>'15)营业外收支预算表'!C16</f>
        <v>58423.89</v>
      </c>
      <c r="D22" s="11">
        <f>'15)营业外收支预算表'!D16</f>
        <v>75000</v>
      </c>
      <c r="E22" s="11">
        <f>C22+D22</f>
        <v>133423.89</v>
      </c>
      <c r="F22" s="40">
        <f t="shared" si="0"/>
        <v>1.1118657500000002</v>
      </c>
      <c r="G22" s="11">
        <f>SUM(H22:K22)</f>
        <v>13600</v>
      </c>
      <c r="H22" s="11">
        <f>'15)营业外收支预算表'!H16</f>
        <v>2000</v>
      </c>
      <c r="I22" s="11">
        <f>'15)营业外收支预算表'!I16</f>
        <v>2000</v>
      </c>
      <c r="J22" s="11">
        <f>'15)营业外收支预算表'!J16</f>
        <v>2000</v>
      </c>
      <c r="K22" s="11">
        <f>'15)营业外收支预算表'!K16</f>
        <v>7600</v>
      </c>
      <c r="L22" s="41">
        <f t="shared" si="1"/>
        <v>-0.8980692288315083</v>
      </c>
      <c r="M22" s="5"/>
    </row>
    <row r="23" spans="1:13" ht="21" customHeight="1">
      <c r="A23" s="25" t="s">
        <v>1013</v>
      </c>
      <c r="B23" s="11">
        <f>B20+B21-B22</f>
        <v>1210139.2064933367</v>
      </c>
      <c r="C23" s="11">
        <f>C20+C21-C22</f>
        <v>2446356.7100000028</v>
      </c>
      <c r="D23" s="11">
        <f>D20+D21-D22</f>
        <v>-1140675.287200001</v>
      </c>
      <c r="E23" s="11">
        <f>E20+E21-E22</f>
        <v>1305681.4227999998</v>
      </c>
      <c r="F23" s="40">
        <f t="shared" si="0"/>
        <v>1.0789514262441915</v>
      </c>
      <c r="G23" s="11">
        <f>G20+G21-G22</f>
        <v>2744299.6396888644</v>
      </c>
      <c r="H23" s="11">
        <f>H20+H21-H22</f>
        <v>713869.709613042</v>
      </c>
      <c r="I23" s="11">
        <f>I20+I21-I22</f>
        <v>-768974.4033954586</v>
      </c>
      <c r="J23" s="11">
        <f>J20+J21-J22</f>
        <v>-918.843748358544</v>
      </c>
      <c r="K23" s="11">
        <f>K20+K21-K22</f>
        <v>2800323.1772196414</v>
      </c>
      <c r="L23" s="41">
        <f t="shared" si="1"/>
        <v>1.1018141115952935</v>
      </c>
      <c r="M23" s="5"/>
    </row>
    <row r="24" spans="1:13" ht="21" customHeight="1">
      <c r="A24" s="25" t="s">
        <v>1014</v>
      </c>
      <c r="B24" s="11">
        <v>417217.29496674985</v>
      </c>
      <c r="C24" s="11">
        <f>'[3]21)利润预算表'!C24+'[5]22)利润预算表'!C24+'[4]22)利润预算表'!C24</f>
        <v>633017.97</v>
      </c>
      <c r="D24" s="11">
        <f>'[3]21)利润预算表'!D24+'[5]22)利润预算表'!D24+'[4]22)利润预算表'!D24</f>
        <v>0</v>
      </c>
      <c r="E24" s="11">
        <f>C24+D24</f>
        <v>633017.97</v>
      </c>
      <c r="F24" s="40">
        <f t="shared" si="0"/>
        <v>1.517238085852717</v>
      </c>
      <c r="G24" s="11">
        <f>SUM(H24:K24)</f>
        <v>440702.53</v>
      </c>
      <c r="H24" s="21">
        <f>'[3]21)利润预算表'!H24+'[4]22)利润预算表'!H24+'[5]22)利润预算表'!H24</f>
        <v>0</v>
      </c>
      <c r="I24" s="21">
        <f>'[3]21)利润预算表'!I24+'[4]22)利润预算表'!I24+'[5]22)利润预算表'!I24</f>
        <v>0</v>
      </c>
      <c r="J24" s="21">
        <f>'[3]21)利润预算表'!J24+'[4]22)利润预算表'!J24+'[5]22)利润预算表'!J24</f>
        <v>0</v>
      </c>
      <c r="K24" s="21">
        <v>440702.53</v>
      </c>
      <c r="L24" s="41">
        <f t="shared" si="1"/>
        <v>-0.30380723630957895</v>
      </c>
      <c r="M24" s="5"/>
    </row>
    <row r="25" spans="1:13" ht="21" customHeight="1">
      <c r="A25" s="25" t="s">
        <v>1015</v>
      </c>
      <c r="B25" s="11">
        <f>B23-B24</f>
        <v>792921.9115265869</v>
      </c>
      <c r="C25" s="11">
        <f>C23-C24</f>
        <v>1813338.7400000028</v>
      </c>
      <c r="D25" s="11">
        <f>D23-D24</f>
        <v>-1140675.287200001</v>
      </c>
      <c r="E25" s="11">
        <f>E23-E24</f>
        <v>672663.4527999999</v>
      </c>
      <c r="F25" s="40">
        <f t="shared" si="0"/>
        <v>0.8483350542110039</v>
      </c>
      <c r="G25" s="11">
        <f>G23-G24</f>
        <v>2303597.109688864</v>
      </c>
      <c r="H25" s="11">
        <f>H23-H24</f>
        <v>713869.709613042</v>
      </c>
      <c r="I25" s="11">
        <f>I23-I24</f>
        <v>-768974.4033954586</v>
      </c>
      <c r="J25" s="11">
        <f>J23-J24</f>
        <v>-918.843748358544</v>
      </c>
      <c r="K25" s="11">
        <f>K23-K24</f>
        <v>2359620.647219641</v>
      </c>
      <c r="L25" s="41">
        <f t="shared" si="1"/>
        <v>2.4245908560960223</v>
      </c>
      <c r="M25" s="5"/>
    </row>
    <row r="26" spans="1:13" ht="21" customHeight="1">
      <c r="A26" s="25" t="s">
        <v>1016</v>
      </c>
      <c r="B26" s="11"/>
      <c r="C26" s="11"/>
      <c r="D26" s="12"/>
      <c r="E26" s="11">
        <f>C26+D26</f>
        <v>0</v>
      </c>
      <c r="F26" s="40" t="e">
        <f t="shared" si="0"/>
        <v>#DIV/0!</v>
      </c>
      <c r="G26" s="11">
        <f>SUM(H26:K26)</f>
        <v>0</v>
      </c>
      <c r="H26" s="12"/>
      <c r="I26" s="12"/>
      <c r="J26" s="12"/>
      <c r="K26" s="12"/>
      <c r="L26" s="41" t="e">
        <f t="shared" si="1"/>
        <v>#DIV/0!</v>
      </c>
      <c r="M26" s="5"/>
    </row>
    <row r="27" spans="1:13" ht="21" customHeight="1">
      <c r="A27" s="25" t="s">
        <v>1017</v>
      </c>
      <c r="B27" s="11"/>
      <c r="C27" s="11"/>
      <c r="D27" s="12"/>
      <c r="E27" s="11">
        <v>0</v>
      </c>
      <c r="F27" s="40" t="e">
        <f t="shared" si="0"/>
        <v>#DIV/0!</v>
      </c>
      <c r="G27" s="11">
        <f>SUM(H27:K27)</f>
        <v>0</v>
      </c>
      <c r="H27" s="12"/>
      <c r="I27" s="12"/>
      <c r="J27" s="12"/>
      <c r="K27" s="12"/>
      <c r="L27" s="41" t="e">
        <f t="shared" si="1"/>
        <v>#DIV/0!</v>
      </c>
      <c r="M27" s="5"/>
    </row>
    <row r="28" spans="1:13" ht="21" customHeight="1">
      <c r="A28" s="25" t="s">
        <v>1018</v>
      </c>
      <c r="B28" s="11"/>
      <c r="C28" s="11"/>
      <c r="D28" s="12"/>
      <c r="E28" s="11">
        <v>0</v>
      </c>
      <c r="F28" s="40" t="e">
        <f t="shared" si="0"/>
        <v>#DIV/0!</v>
      </c>
      <c r="G28" s="11">
        <f>SUM(H28:K28)</f>
        <v>0</v>
      </c>
      <c r="H28" s="12"/>
      <c r="I28" s="12"/>
      <c r="J28" s="12"/>
      <c r="K28" s="12"/>
      <c r="L28" s="41" t="e">
        <f t="shared" si="1"/>
        <v>#DIV/0!</v>
      </c>
      <c r="M28" s="5"/>
    </row>
    <row r="29" spans="1:13" ht="21" customHeight="1">
      <c r="A29" s="25" t="s">
        <v>1019</v>
      </c>
      <c r="B29" s="11"/>
      <c r="C29" s="11"/>
      <c r="D29" s="12"/>
      <c r="E29" s="11">
        <f>E25*20%</f>
        <v>134532.69056</v>
      </c>
      <c r="F29" s="40" t="e">
        <f t="shared" si="0"/>
        <v>#DIV/0!</v>
      </c>
      <c r="G29" s="11">
        <f>G25*20%</f>
        <v>460719.42193777283</v>
      </c>
      <c r="H29" s="12"/>
      <c r="I29" s="12"/>
      <c r="J29" s="12"/>
      <c r="K29" s="12"/>
      <c r="L29" s="41" t="e">
        <f t="shared" si="1"/>
        <v>#DIV/0!</v>
      </c>
      <c r="M29" s="5"/>
    </row>
    <row r="30" spans="1:13" ht="21" customHeight="1">
      <c r="A30" s="25" t="s">
        <v>1020</v>
      </c>
      <c r="B30" s="11">
        <f>B25-B26-B27-B28-B29</f>
        <v>792921.9115265869</v>
      </c>
      <c r="C30" s="11">
        <f>C25-C26-C27-C28-C29</f>
        <v>1813338.7400000028</v>
      </c>
      <c r="D30" s="11">
        <f>D25-D26-D27-D28-D29</f>
        <v>-1140675.287200001</v>
      </c>
      <c r="E30" s="11">
        <f>E25-E26-E27-E28-E29</f>
        <v>538130.7622399998</v>
      </c>
      <c r="F30" s="40">
        <f t="shared" si="0"/>
        <v>0.678668043368803</v>
      </c>
      <c r="G30" s="11">
        <f>G25-G26-G27-G28-G29</f>
        <v>1842877.6877510913</v>
      </c>
      <c r="H30" s="11">
        <f>H25-H26-H27-H28-H29</f>
        <v>713869.709613042</v>
      </c>
      <c r="I30" s="11">
        <f>I25-I26-I27-I28-I29</f>
        <v>-768974.4033954586</v>
      </c>
      <c r="J30" s="11">
        <f>J25-J26-J27-J28-J29</f>
        <v>-918.843748358544</v>
      </c>
      <c r="K30" s="11">
        <f>K25-K26-K27-K28-K29</f>
        <v>2359620.647219641</v>
      </c>
      <c r="L30" s="41">
        <f t="shared" si="1"/>
        <v>1.7396726848768178</v>
      </c>
      <c r="M30" s="5"/>
    </row>
    <row r="31" spans="1:13" ht="21" customHeight="1">
      <c r="A31" s="5"/>
      <c r="B31" s="5"/>
      <c r="C31" s="16"/>
      <c r="D31" s="4" t="s">
        <v>340</v>
      </c>
      <c r="E31" s="5"/>
      <c r="F31" s="5"/>
      <c r="G31" s="5"/>
      <c r="H31" s="16"/>
      <c r="I31" s="17" t="s">
        <v>380</v>
      </c>
      <c r="J31" s="5"/>
      <c r="K31" s="5"/>
      <c r="L31" s="5"/>
      <c r="M31" s="5"/>
    </row>
    <row r="33" ht="12.75">
      <c r="E33">
        <f>'[3]21)利润预算表'!$E$25+'[5]22)利润预算表'!$E$25+'[4]22)利润预算表'!$E$25</f>
        <v>672663.4527999982</v>
      </c>
    </row>
  </sheetData>
  <sheetProtection/>
  <mergeCells count="7">
    <mergeCell ref="A1:M1"/>
    <mergeCell ref="C2:E2"/>
    <mergeCell ref="B3:F3"/>
    <mergeCell ref="G3:K3"/>
    <mergeCell ref="A3:A4"/>
    <mergeCell ref="L3:L4"/>
    <mergeCell ref="M3:M4"/>
  </mergeCells>
  <printOptions/>
  <pageMargins left="0.57" right="0.33" top="0.36" bottom="0.4" header="0.27" footer="0.28"/>
  <pageSetup fitToHeight="1" fitToWidth="1" horizontalDpi="300" verticalDpi="300" orientation="landscape" paperSize="9" scale="78"/>
</worksheet>
</file>

<file path=xl/worksheets/sheet39.xml><?xml version="1.0" encoding="utf-8"?>
<worksheet xmlns="http://schemas.openxmlformats.org/spreadsheetml/2006/main" xmlns:r="http://schemas.openxmlformats.org/officeDocument/2006/relationships">
  <sheetPr>
    <pageSetUpPr fitToPage="1"/>
  </sheetPr>
  <dimension ref="A1:E27"/>
  <sheetViews>
    <sheetView workbookViewId="0" topLeftCell="A1">
      <selection activeCell="B17" sqref="B17:C17"/>
    </sheetView>
  </sheetViews>
  <sheetFormatPr defaultColWidth="9.140625" defaultRowHeight="12.75"/>
  <cols>
    <col min="1" max="1" width="34.8515625" style="0" customWidth="1"/>
    <col min="2" max="4" width="17.7109375" style="0" customWidth="1"/>
    <col min="5" max="5" width="53.28125" style="0" customWidth="1"/>
  </cols>
  <sheetData>
    <row r="1" spans="1:5" ht="33" customHeight="1">
      <c r="A1" s="23" t="s">
        <v>1021</v>
      </c>
      <c r="B1" s="23" t="s">
        <v>1021</v>
      </c>
      <c r="C1" s="23" t="s">
        <v>1021</v>
      </c>
      <c r="D1" s="23" t="s">
        <v>1021</v>
      </c>
      <c r="E1" s="23" t="s">
        <v>1021</v>
      </c>
    </row>
    <row r="2" spans="1:5" ht="18" customHeight="1">
      <c r="A2" s="5" t="s">
        <v>287</v>
      </c>
      <c r="B2" s="3"/>
      <c r="C2" s="3"/>
      <c r="D2" s="3"/>
      <c r="E2" s="5"/>
    </row>
    <row r="3" spans="1:5" ht="18" customHeight="1">
      <c r="A3" s="18"/>
      <c r="B3" s="17"/>
      <c r="C3" s="36" t="s">
        <v>288</v>
      </c>
      <c r="D3" s="16"/>
      <c r="E3" s="16" t="s">
        <v>1</v>
      </c>
    </row>
    <row r="4" spans="1:5" ht="18" customHeight="1">
      <c r="A4" s="18" t="s">
        <v>290</v>
      </c>
      <c r="B4" s="9" t="s">
        <v>1022</v>
      </c>
      <c r="C4" s="9" t="s">
        <v>292</v>
      </c>
      <c r="D4" s="6" t="s">
        <v>1023</v>
      </c>
      <c r="E4" s="18" t="s">
        <v>33</v>
      </c>
    </row>
    <row r="5" spans="1:5" ht="18" customHeight="1">
      <c r="A5" s="18" t="s">
        <v>290</v>
      </c>
      <c r="B5" s="9" t="s">
        <v>1024</v>
      </c>
      <c r="C5" s="9" t="s">
        <v>314</v>
      </c>
      <c r="D5" s="6" t="s">
        <v>1023</v>
      </c>
      <c r="E5" s="18" t="s">
        <v>33</v>
      </c>
    </row>
    <row r="6" spans="1:5" ht="19.5" customHeight="1">
      <c r="A6" s="25" t="s">
        <v>1025</v>
      </c>
      <c r="B6" s="21">
        <f>'22)利润预算表'!E25</f>
        <v>672663.4527999999</v>
      </c>
      <c r="C6" s="21">
        <f>'22)利润预算表'!G25</f>
        <v>2303597.109688864</v>
      </c>
      <c r="D6" s="5"/>
      <c r="E6" s="5"/>
    </row>
    <row r="7" spans="1:5" ht="19.5" customHeight="1">
      <c r="A7" s="25" t="s">
        <v>1026</v>
      </c>
      <c r="B7" s="21">
        <f>'21)资产负债预算表（二）'!C35</f>
        <v>3454636.1</v>
      </c>
      <c r="C7" s="21">
        <f>B19</f>
        <v>4127299.5527999997</v>
      </c>
      <c r="D7" s="5"/>
      <c r="E7" s="5"/>
    </row>
    <row r="8" spans="1:5" ht="19.5" customHeight="1">
      <c r="A8" s="25" t="s">
        <v>1027</v>
      </c>
      <c r="B8" s="12"/>
      <c r="C8" s="12"/>
      <c r="D8" s="5"/>
      <c r="E8" s="5"/>
    </row>
    <row r="9" spans="1:5" ht="19.5" customHeight="1">
      <c r="A9" s="25" t="s">
        <v>1028</v>
      </c>
      <c r="B9" s="12"/>
      <c r="C9" s="12"/>
      <c r="D9" s="5"/>
      <c r="E9" s="5"/>
    </row>
    <row r="10" spans="1:5" ht="19.5" customHeight="1">
      <c r="A10" s="25" t="s">
        <v>1029</v>
      </c>
      <c r="B10" s="11">
        <f>B6+B7</f>
        <v>4127299.5527999997</v>
      </c>
      <c r="C10" s="11">
        <f>C6+C7+C8+C9</f>
        <v>6430896.662488864</v>
      </c>
      <c r="D10" s="5"/>
      <c r="E10" s="5"/>
    </row>
    <row r="11" spans="1:5" ht="19.5" customHeight="1">
      <c r="A11" s="25" t="s">
        <v>1030</v>
      </c>
      <c r="B11" s="12"/>
      <c r="C11" s="12"/>
      <c r="D11" s="5"/>
      <c r="E11" s="5"/>
    </row>
    <row r="12" spans="1:5" ht="19.5" customHeight="1">
      <c r="A12" s="25" t="s">
        <v>1031</v>
      </c>
      <c r="B12" s="12"/>
      <c r="C12" s="12"/>
      <c r="D12" s="5"/>
      <c r="E12" s="5"/>
    </row>
    <row r="13" spans="1:5" ht="19.5" customHeight="1">
      <c r="A13" s="25" t="s">
        <v>1032</v>
      </c>
      <c r="B13" s="12"/>
      <c r="C13" s="12"/>
      <c r="D13" s="5"/>
      <c r="E13" s="5"/>
    </row>
    <row r="14" spans="1:5" ht="19.5" customHeight="1">
      <c r="A14" s="25" t="s">
        <v>1033</v>
      </c>
      <c r="B14" s="11">
        <f>B10</f>
        <v>4127299.5527999997</v>
      </c>
      <c r="C14" s="11">
        <f>C10-C11-C12-C13</f>
        <v>6430896.662488864</v>
      </c>
      <c r="D14" s="5"/>
      <c r="E14" s="5"/>
    </row>
    <row r="15" spans="1:5" ht="19.5" customHeight="1">
      <c r="A15" s="25" t="s">
        <v>1034</v>
      </c>
      <c r="B15" s="12"/>
      <c r="C15" s="12"/>
      <c r="D15" s="5"/>
      <c r="E15" s="5"/>
    </row>
    <row r="16" spans="1:5" ht="19.5" customHeight="1">
      <c r="A16" s="25" t="s">
        <v>1035</v>
      </c>
      <c r="B16" s="12"/>
      <c r="C16" s="12"/>
      <c r="D16" s="5"/>
      <c r="E16" s="5"/>
    </row>
    <row r="17" spans="1:5" ht="19.5" customHeight="1">
      <c r="A17" s="25" t="s">
        <v>1036</v>
      </c>
      <c r="B17" s="21">
        <f>'22)利润预算表'!E29</f>
        <v>134532.69056</v>
      </c>
      <c r="C17" s="21">
        <f>'22)利润预算表'!G29</f>
        <v>460719.42193777283</v>
      </c>
      <c r="D17" s="5"/>
      <c r="E17" s="5"/>
    </row>
    <row r="18" spans="1:5" ht="19.5" customHeight="1">
      <c r="A18" s="25" t="s">
        <v>1037</v>
      </c>
      <c r="B18" s="12"/>
      <c r="C18" s="12"/>
      <c r="D18" s="5"/>
      <c r="E18" s="5"/>
    </row>
    <row r="19" spans="1:5" ht="19.5" customHeight="1">
      <c r="A19" s="25" t="s">
        <v>1038</v>
      </c>
      <c r="B19" s="11">
        <f>B14</f>
        <v>4127299.5527999997</v>
      </c>
      <c r="C19" s="11">
        <f>C14-C15-C16-C17-C18</f>
        <v>5970177.240551091</v>
      </c>
      <c r="D19" s="5"/>
      <c r="E19" s="5"/>
    </row>
    <row r="20" spans="1:5" ht="19.5" customHeight="1">
      <c r="A20" s="25" t="s">
        <v>1039</v>
      </c>
      <c r="B20" s="37">
        <v>1</v>
      </c>
      <c r="C20" s="37">
        <v>1</v>
      </c>
      <c r="D20" s="5"/>
      <c r="E20" s="5"/>
    </row>
    <row r="21" spans="1:5" ht="18" customHeight="1">
      <c r="A21" s="5"/>
      <c r="B21" s="5"/>
      <c r="C21" s="5"/>
      <c r="D21" s="5"/>
      <c r="E21" s="5"/>
    </row>
    <row r="22" spans="1:5" ht="18" customHeight="1">
      <c r="A22" s="16"/>
      <c r="B22" s="4" t="s">
        <v>340</v>
      </c>
      <c r="C22" s="5"/>
      <c r="D22" s="16"/>
      <c r="E22" s="4" t="s">
        <v>380</v>
      </c>
    </row>
    <row r="23" spans="1:5" ht="18" customHeight="1">
      <c r="A23" s="5"/>
      <c r="B23" s="5"/>
      <c r="C23" s="5"/>
      <c r="D23" s="5"/>
      <c r="E23" s="5"/>
    </row>
    <row r="24" spans="1:5" ht="18" customHeight="1">
      <c r="A24" s="5"/>
      <c r="B24" s="5"/>
      <c r="C24" s="5"/>
      <c r="D24" s="5"/>
      <c r="E24" s="5"/>
    </row>
    <row r="25" spans="1:5" ht="18" customHeight="1">
      <c r="A25" s="5"/>
      <c r="B25" s="5"/>
      <c r="C25" s="5"/>
      <c r="D25" s="5"/>
      <c r="E25" s="5"/>
    </row>
    <row r="26" spans="1:5" ht="18" customHeight="1">
      <c r="A26" s="5"/>
      <c r="B26" s="5"/>
      <c r="C26" s="5"/>
      <c r="D26" s="5"/>
      <c r="E26" s="5"/>
    </row>
    <row r="27" spans="1:5" ht="18" customHeight="1">
      <c r="A27" s="5"/>
      <c r="B27" s="5"/>
      <c r="C27" s="5"/>
      <c r="D27" s="5"/>
      <c r="E27" s="5"/>
    </row>
  </sheetData>
  <sheetProtection/>
  <mergeCells count="5">
    <mergeCell ref="A1:E1"/>
    <mergeCell ref="B2:D2"/>
    <mergeCell ref="A4:A5"/>
    <mergeCell ref="D4:D5"/>
    <mergeCell ref="E4:E5"/>
  </mergeCells>
  <printOptions/>
  <pageMargins left="0.75" right="0.75" top="1" bottom="1" header="0.5" footer="0.5"/>
  <pageSetup fitToHeight="1" fitToWidth="1" horizontalDpi="300" verticalDpi="300" orientation="landscape" paperSize="9" scale="88"/>
</worksheet>
</file>

<file path=xl/worksheets/sheet4.xml><?xml version="1.0" encoding="utf-8"?>
<worksheet xmlns="http://schemas.openxmlformats.org/spreadsheetml/2006/main" xmlns:r="http://schemas.openxmlformats.org/officeDocument/2006/relationships">
  <sheetPr>
    <pageSetUpPr fitToPage="1"/>
  </sheetPr>
  <dimension ref="A1:L20"/>
  <sheetViews>
    <sheetView workbookViewId="0" topLeftCell="A1">
      <selection activeCell="M14" sqref="M14"/>
    </sheetView>
  </sheetViews>
  <sheetFormatPr defaultColWidth="9.140625" defaultRowHeight="12.75"/>
  <cols>
    <col min="1" max="1" width="14.140625" style="180" customWidth="1"/>
    <col min="2" max="2" width="14.00390625" style="180" customWidth="1"/>
    <col min="3" max="3" width="11.57421875" style="180" customWidth="1"/>
    <col min="4" max="4" width="11.8515625" style="180" customWidth="1"/>
    <col min="5" max="5" width="13.7109375" style="180" customWidth="1"/>
    <col min="6" max="6" width="11.8515625" style="180" customWidth="1"/>
    <col min="7" max="11" width="12.28125" style="180" customWidth="1"/>
    <col min="12" max="12" width="10.8515625" style="180" customWidth="1"/>
    <col min="13" max="16384" width="9.140625" style="180" customWidth="1"/>
  </cols>
  <sheetData>
    <row r="1" spans="1:12" ht="28.5" customHeight="1">
      <c r="A1" s="140" t="s">
        <v>381</v>
      </c>
      <c r="B1" s="140" t="s">
        <v>382</v>
      </c>
      <c r="C1" s="140" t="s">
        <v>382</v>
      </c>
      <c r="D1" s="140" t="s">
        <v>382</v>
      </c>
      <c r="E1" s="140" t="s">
        <v>382</v>
      </c>
      <c r="F1" s="140" t="s">
        <v>382</v>
      </c>
      <c r="G1" s="140" t="s">
        <v>382</v>
      </c>
      <c r="H1" s="140" t="s">
        <v>382</v>
      </c>
      <c r="I1" s="140" t="s">
        <v>382</v>
      </c>
      <c r="J1" s="140" t="s">
        <v>382</v>
      </c>
      <c r="K1" s="140" t="s">
        <v>382</v>
      </c>
      <c r="L1" s="140" t="s">
        <v>382</v>
      </c>
    </row>
    <row r="2" spans="1:12" ht="18" customHeight="1">
      <c r="A2" s="157" t="s">
        <v>287</v>
      </c>
      <c r="B2" s="198"/>
      <c r="C2" s="198"/>
      <c r="D2" s="198"/>
      <c r="E2" s="199"/>
      <c r="F2" s="200" t="s">
        <v>288</v>
      </c>
      <c r="G2" s="157"/>
      <c r="H2" s="157"/>
      <c r="I2" s="157"/>
      <c r="J2" s="157"/>
      <c r="K2" s="163" t="s">
        <v>1</v>
      </c>
      <c r="L2" s="157"/>
    </row>
    <row r="3" spans="1:12" ht="18" customHeight="1">
      <c r="A3" s="123" t="s">
        <v>290</v>
      </c>
      <c r="B3" s="150" t="s">
        <v>383</v>
      </c>
      <c r="C3" s="150" t="s">
        <v>384</v>
      </c>
      <c r="D3" s="150" t="s">
        <v>385</v>
      </c>
      <c r="E3" s="150" t="s">
        <v>386</v>
      </c>
      <c r="F3" s="150" t="s">
        <v>387</v>
      </c>
      <c r="G3" s="150" t="s">
        <v>388</v>
      </c>
      <c r="H3" s="150" t="s">
        <v>388</v>
      </c>
      <c r="I3" s="150" t="s">
        <v>388</v>
      </c>
      <c r="J3" s="150" t="s">
        <v>388</v>
      </c>
      <c r="K3" s="150" t="s">
        <v>388</v>
      </c>
      <c r="L3" s="150" t="s">
        <v>33</v>
      </c>
    </row>
    <row r="4" spans="1:12" ht="18" customHeight="1">
      <c r="A4" s="123" t="s">
        <v>290</v>
      </c>
      <c r="B4" s="150" t="s">
        <v>383</v>
      </c>
      <c r="C4" s="150" t="s">
        <v>384</v>
      </c>
      <c r="D4" s="150" t="s">
        <v>385</v>
      </c>
      <c r="E4" s="150" t="s">
        <v>386</v>
      </c>
      <c r="F4" s="150" t="s">
        <v>387</v>
      </c>
      <c r="G4" s="150" t="s">
        <v>314</v>
      </c>
      <c r="H4" s="150" t="s">
        <v>324</v>
      </c>
      <c r="I4" s="150" t="s">
        <v>331</v>
      </c>
      <c r="J4" s="150" t="s">
        <v>334</v>
      </c>
      <c r="K4" s="150" t="s">
        <v>336</v>
      </c>
      <c r="L4" s="150" t="s">
        <v>33</v>
      </c>
    </row>
    <row r="5" spans="1:12" ht="18" customHeight="1">
      <c r="A5" s="201">
        <f>'[3]4)自建地产及经营性投资项目预算表'!A5+'[4]4)自建地产及经营性投资项目预算表'!A5+'[5]4)自建地产及经营性投资项目预算表'!A5</f>
        <v>0</v>
      </c>
      <c r="B5" s="202">
        <f>'[3]4)自建地产及经营性投资项目预算表'!B5+'[4]4)自建地产及经营性投资项目预算表'!B5+'[5]4)自建地产及经营性投资项目预算表'!B5</f>
        <v>0</v>
      </c>
      <c r="C5" s="202">
        <f>'[3]4)自建地产及经营性投资项目预算表'!C5+'[4]4)自建地产及经营性投资项目预算表'!C5+'[5]4)自建地产及经营性投资项目预算表'!C5</f>
        <v>0</v>
      </c>
      <c r="D5" s="202">
        <f>'[3]4)自建地产及经营性投资项目预算表'!D5+'[4]4)自建地产及经营性投资项目预算表'!D5+'[5]4)自建地产及经营性投资项目预算表'!D5</f>
        <v>0</v>
      </c>
      <c r="E5" s="202">
        <f>'[3]4)自建地产及经营性投资项目预算表'!E5+'[4]4)自建地产及经营性投资项目预算表'!E5+'[5]4)自建地产及经营性投资项目预算表'!E5</f>
        <v>0</v>
      </c>
      <c r="F5" s="202">
        <f>'[3]4)自建地产及经营性投资项目预算表'!F5+'[4]4)自建地产及经营性投资项目预算表'!F5+'[5]4)自建地产及经营性投资项目预算表'!F5</f>
        <v>0</v>
      </c>
      <c r="G5" s="203">
        <f>SUM(H5:K5)</f>
        <v>0</v>
      </c>
      <c r="H5" s="202">
        <f>'[3]4)自建地产及经营性投资项目预算表'!H5+'[4]4)自建地产及经营性投资项目预算表'!H5+'[5]4)自建地产及经营性投资项目预算表'!H5</f>
        <v>0</v>
      </c>
      <c r="I5" s="202">
        <f>'[3]4)自建地产及经营性投资项目预算表'!I5+'[4]4)自建地产及经营性投资项目预算表'!I5+'[5]4)自建地产及经营性投资项目预算表'!I5</f>
        <v>0</v>
      </c>
      <c r="J5" s="202">
        <f>'[3]4)自建地产及经营性投资项目预算表'!J5+'[4]4)自建地产及经营性投资项目预算表'!J5+'[5]4)自建地产及经营性投资项目预算表'!J5</f>
        <v>0</v>
      </c>
      <c r="K5" s="202">
        <f>'[3]4)自建地产及经营性投资项目预算表'!K5+'[4]4)自建地产及经营性投资项目预算表'!K5+'[5]4)自建地产及经营性投资项目预算表'!K5</f>
        <v>0</v>
      </c>
      <c r="L5" s="157"/>
    </row>
    <row r="6" spans="1:12" ht="18" customHeight="1">
      <c r="A6" s="201">
        <f>'[3]4)自建地产及经营性投资项目预算表'!A6+'[4]4)自建地产及经营性投资项目预算表'!A6+'[5]4)自建地产及经营性投资项目预算表'!A6</f>
        <v>0</v>
      </c>
      <c r="B6" s="202">
        <f>'[3]4)自建地产及经营性投资项目预算表'!B6+'[4]4)自建地产及经营性投资项目预算表'!B6+'[5]4)自建地产及经营性投资项目预算表'!B6</f>
        <v>0</v>
      </c>
      <c r="C6" s="202">
        <f>'[3]4)自建地产及经营性投资项目预算表'!C6+'[4]4)自建地产及经营性投资项目预算表'!C6+'[5]4)自建地产及经营性投资项目预算表'!C6</f>
        <v>0</v>
      </c>
      <c r="D6" s="202">
        <f>'[3]4)自建地产及经营性投资项目预算表'!D6+'[4]4)自建地产及经营性投资项目预算表'!D6+'[5]4)自建地产及经营性投资项目预算表'!D6</f>
        <v>0</v>
      </c>
      <c r="E6" s="202">
        <f>'[3]4)自建地产及经营性投资项目预算表'!E6+'[4]4)自建地产及经营性投资项目预算表'!E6+'[5]4)自建地产及经营性投资项目预算表'!E6</f>
        <v>0</v>
      </c>
      <c r="F6" s="202">
        <f>'[3]4)自建地产及经营性投资项目预算表'!F6+'[4]4)自建地产及经营性投资项目预算表'!F6+'[5]4)自建地产及经营性投资项目预算表'!F6</f>
        <v>0</v>
      </c>
      <c r="G6" s="203">
        <f aca="true" t="shared" si="0" ref="G6:G13">SUM(H6:K6)</f>
        <v>0</v>
      </c>
      <c r="H6" s="202">
        <f>'[3]4)自建地产及经营性投资项目预算表'!H6+'[4]4)自建地产及经营性投资项目预算表'!H6+'[5]4)自建地产及经营性投资项目预算表'!H6</f>
        <v>0</v>
      </c>
      <c r="I6" s="202">
        <f>'[3]4)自建地产及经营性投资项目预算表'!I6+'[4]4)自建地产及经营性投资项目预算表'!I6+'[5]4)自建地产及经营性投资项目预算表'!I6</f>
        <v>0</v>
      </c>
      <c r="J6" s="202">
        <f>'[3]4)自建地产及经营性投资项目预算表'!J6+'[4]4)自建地产及经营性投资项目预算表'!J6+'[5]4)自建地产及经营性投资项目预算表'!J6</f>
        <v>0</v>
      </c>
      <c r="K6" s="202">
        <f>'[3]4)自建地产及经营性投资项目预算表'!K6+'[4]4)自建地产及经营性投资项目预算表'!K6+'[5]4)自建地产及经营性投资项目预算表'!K6</f>
        <v>0</v>
      </c>
      <c r="L6" s="157"/>
    </row>
    <row r="7" spans="1:12" ht="18" customHeight="1">
      <c r="A7" s="201">
        <f>'[3]4)自建地产及经营性投资项目预算表'!A7+'[4]4)自建地产及经营性投资项目预算表'!A7+'[5]4)自建地产及经营性投资项目预算表'!A7</f>
        <v>0</v>
      </c>
      <c r="B7" s="202">
        <f>'[3]4)自建地产及经营性投资项目预算表'!B7+'[4]4)自建地产及经营性投资项目预算表'!B7+'[5]4)自建地产及经营性投资项目预算表'!B7</f>
        <v>0</v>
      </c>
      <c r="C7" s="202">
        <f>'[3]4)自建地产及经营性投资项目预算表'!C7+'[4]4)自建地产及经营性投资项目预算表'!C7+'[5]4)自建地产及经营性投资项目预算表'!C7</f>
        <v>0</v>
      </c>
      <c r="D7" s="202">
        <f>'[3]4)自建地产及经营性投资项目预算表'!D7+'[4]4)自建地产及经营性投资项目预算表'!D7+'[5]4)自建地产及经营性投资项目预算表'!D7</f>
        <v>0</v>
      </c>
      <c r="E7" s="202">
        <f>'[3]4)自建地产及经营性投资项目预算表'!E7+'[4]4)自建地产及经营性投资项目预算表'!E7+'[5]4)自建地产及经营性投资项目预算表'!E7</f>
        <v>0</v>
      </c>
      <c r="F7" s="202">
        <f>'[3]4)自建地产及经营性投资项目预算表'!F7+'[4]4)自建地产及经营性投资项目预算表'!F7+'[5]4)自建地产及经营性投资项目预算表'!F7</f>
        <v>0</v>
      </c>
      <c r="G7" s="203">
        <f t="shared" si="0"/>
        <v>0</v>
      </c>
      <c r="H7" s="202">
        <f>'[3]4)自建地产及经营性投资项目预算表'!H7+'[4]4)自建地产及经营性投资项目预算表'!H7+'[5]4)自建地产及经营性投资项目预算表'!H7</f>
        <v>0</v>
      </c>
      <c r="I7" s="202">
        <f>'[3]4)自建地产及经营性投资项目预算表'!I7+'[4]4)自建地产及经营性投资项目预算表'!I7+'[5]4)自建地产及经营性投资项目预算表'!I7</f>
        <v>0</v>
      </c>
      <c r="J7" s="202">
        <f>'[3]4)自建地产及经营性投资项目预算表'!J7+'[4]4)自建地产及经营性投资项目预算表'!J7+'[5]4)自建地产及经营性投资项目预算表'!J7</f>
        <v>0</v>
      </c>
      <c r="K7" s="202">
        <f>'[3]4)自建地产及经营性投资项目预算表'!K7+'[4]4)自建地产及经营性投资项目预算表'!K7+'[5]4)自建地产及经营性投资项目预算表'!K7</f>
        <v>0</v>
      </c>
      <c r="L7" s="157"/>
    </row>
    <row r="8" spans="1:12" ht="18" customHeight="1">
      <c r="A8" s="201">
        <f>'[3]4)自建地产及经营性投资项目预算表'!A8+'[4]4)自建地产及经营性投资项目预算表'!A8+'[5]4)自建地产及经营性投资项目预算表'!A8</f>
        <v>0</v>
      </c>
      <c r="B8" s="202">
        <f>'[3]4)自建地产及经营性投资项目预算表'!B8+'[4]4)自建地产及经营性投资项目预算表'!B8+'[5]4)自建地产及经营性投资项目预算表'!B8</f>
        <v>0</v>
      </c>
      <c r="C8" s="202">
        <f>'[3]4)自建地产及经营性投资项目预算表'!C8+'[4]4)自建地产及经营性投资项目预算表'!C8+'[5]4)自建地产及经营性投资项目预算表'!C8</f>
        <v>0</v>
      </c>
      <c r="D8" s="202">
        <f>'[3]4)自建地产及经营性投资项目预算表'!D8+'[4]4)自建地产及经营性投资项目预算表'!D8+'[5]4)自建地产及经营性投资项目预算表'!D8</f>
        <v>0</v>
      </c>
      <c r="E8" s="202">
        <f>'[3]4)自建地产及经营性投资项目预算表'!E8+'[4]4)自建地产及经营性投资项目预算表'!E8+'[5]4)自建地产及经营性投资项目预算表'!E8</f>
        <v>0</v>
      </c>
      <c r="F8" s="202">
        <f>'[3]4)自建地产及经营性投资项目预算表'!F8+'[4]4)自建地产及经营性投资项目预算表'!F8+'[5]4)自建地产及经营性投资项目预算表'!F8</f>
        <v>0</v>
      </c>
      <c r="G8" s="203">
        <f t="shared" si="0"/>
        <v>0</v>
      </c>
      <c r="H8" s="202">
        <f>'[3]4)自建地产及经营性投资项目预算表'!H8+'[4]4)自建地产及经营性投资项目预算表'!H8+'[5]4)自建地产及经营性投资项目预算表'!H8</f>
        <v>0</v>
      </c>
      <c r="I8" s="202">
        <f>'[3]4)自建地产及经营性投资项目预算表'!I8+'[4]4)自建地产及经营性投资项目预算表'!I8+'[5]4)自建地产及经营性投资项目预算表'!I8</f>
        <v>0</v>
      </c>
      <c r="J8" s="202">
        <f>'[3]4)自建地产及经营性投资项目预算表'!J8+'[4]4)自建地产及经营性投资项目预算表'!J8+'[5]4)自建地产及经营性投资项目预算表'!J8</f>
        <v>0</v>
      </c>
      <c r="K8" s="202">
        <f>'[3]4)自建地产及经营性投资项目预算表'!K8+'[4]4)自建地产及经营性投资项目预算表'!K8+'[5]4)自建地产及经营性投资项目预算表'!K8</f>
        <v>0</v>
      </c>
      <c r="L8" s="157"/>
    </row>
    <row r="9" spans="1:12" ht="18" customHeight="1">
      <c r="A9" s="201">
        <f>'[3]4)自建地产及经营性投资项目预算表'!A9+'[4]4)自建地产及经营性投资项目预算表'!A9+'[5]4)自建地产及经营性投资项目预算表'!A9</f>
        <v>0</v>
      </c>
      <c r="B9" s="202">
        <f>'[3]4)自建地产及经营性投资项目预算表'!B9+'[4]4)自建地产及经营性投资项目预算表'!B9+'[5]4)自建地产及经营性投资项目预算表'!B9</f>
        <v>0</v>
      </c>
      <c r="C9" s="202">
        <f>'[3]4)自建地产及经营性投资项目预算表'!C9+'[4]4)自建地产及经营性投资项目预算表'!C9+'[5]4)自建地产及经营性投资项目预算表'!C9</f>
        <v>0</v>
      </c>
      <c r="D9" s="202">
        <f>'[3]4)自建地产及经营性投资项目预算表'!D9+'[4]4)自建地产及经营性投资项目预算表'!D9+'[5]4)自建地产及经营性投资项目预算表'!D9</f>
        <v>0</v>
      </c>
      <c r="E9" s="202">
        <f>'[3]4)自建地产及经营性投资项目预算表'!E9+'[4]4)自建地产及经营性投资项目预算表'!E9+'[5]4)自建地产及经营性投资项目预算表'!E9</f>
        <v>0</v>
      </c>
      <c r="F9" s="202">
        <f>'[3]4)自建地产及经营性投资项目预算表'!F9+'[4]4)自建地产及经营性投资项目预算表'!F9+'[5]4)自建地产及经营性投资项目预算表'!F9</f>
        <v>0</v>
      </c>
      <c r="G9" s="203">
        <f t="shared" si="0"/>
        <v>0</v>
      </c>
      <c r="H9" s="202">
        <f>'[3]4)自建地产及经营性投资项目预算表'!H9+'[4]4)自建地产及经营性投资项目预算表'!H9+'[5]4)自建地产及经营性投资项目预算表'!H9</f>
        <v>0</v>
      </c>
      <c r="I9" s="202">
        <f>'[3]4)自建地产及经营性投资项目预算表'!I9+'[4]4)自建地产及经营性投资项目预算表'!I9+'[5]4)自建地产及经营性投资项目预算表'!I9</f>
        <v>0</v>
      </c>
      <c r="J9" s="202">
        <f>'[3]4)自建地产及经营性投资项目预算表'!J9+'[4]4)自建地产及经营性投资项目预算表'!J9+'[5]4)自建地产及经营性投资项目预算表'!J9</f>
        <v>0</v>
      </c>
      <c r="K9" s="202">
        <f>'[3]4)自建地产及经营性投资项目预算表'!K9+'[4]4)自建地产及经营性投资项目预算表'!K9+'[5]4)自建地产及经营性投资项目预算表'!K9</f>
        <v>0</v>
      </c>
      <c r="L9" s="157"/>
    </row>
    <row r="10" spans="1:12" ht="18" customHeight="1">
      <c r="A10" s="201">
        <f>'[3]4)自建地产及经营性投资项目预算表'!A10+'[4]4)自建地产及经营性投资项目预算表'!A10+'[5]4)自建地产及经营性投资项目预算表'!A10</f>
        <v>0</v>
      </c>
      <c r="B10" s="202">
        <f>'[3]4)自建地产及经营性投资项目预算表'!B10+'[4]4)自建地产及经营性投资项目预算表'!B10+'[5]4)自建地产及经营性投资项目预算表'!B10</f>
        <v>0</v>
      </c>
      <c r="C10" s="202">
        <f>'[3]4)自建地产及经营性投资项目预算表'!C10+'[4]4)自建地产及经营性投资项目预算表'!C10+'[5]4)自建地产及经营性投资项目预算表'!C10</f>
        <v>0</v>
      </c>
      <c r="D10" s="202">
        <f>'[3]4)自建地产及经营性投资项目预算表'!D10+'[4]4)自建地产及经营性投资项目预算表'!D10+'[5]4)自建地产及经营性投资项目预算表'!D10</f>
        <v>0</v>
      </c>
      <c r="E10" s="202">
        <f>'[3]4)自建地产及经营性投资项目预算表'!E10+'[4]4)自建地产及经营性投资项目预算表'!E10+'[5]4)自建地产及经营性投资项目预算表'!E10</f>
        <v>0</v>
      </c>
      <c r="F10" s="202">
        <f>'[3]4)自建地产及经营性投资项目预算表'!F10+'[4]4)自建地产及经营性投资项目预算表'!F10+'[5]4)自建地产及经营性投资项目预算表'!F10</f>
        <v>0</v>
      </c>
      <c r="G10" s="203">
        <f t="shared" si="0"/>
        <v>0</v>
      </c>
      <c r="H10" s="202">
        <f>'[3]4)自建地产及经营性投资项目预算表'!H10+'[4]4)自建地产及经营性投资项目预算表'!H10+'[5]4)自建地产及经营性投资项目预算表'!H10</f>
        <v>0</v>
      </c>
      <c r="I10" s="202">
        <f>'[3]4)自建地产及经营性投资项目预算表'!I10+'[4]4)自建地产及经营性投资项目预算表'!I10+'[5]4)自建地产及经营性投资项目预算表'!I10</f>
        <v>0</v>
      </c>
      <c r="J10" s="202">
        <f>'[3]4)自建地产及经营性投资项目预算表'!J10+'[4]4)自建地产及经营性投资项目预算表'!J10+'[5]4)自建地产及经营性投资项目预算表'!J10</f>
        <v>0</v>
      </c>
      <c r="K10" s="202">
        <f>'[3]4)自建地产及经营性投资项目预算表'!K10+'[4]4)自建地产及经营性投资项目预算表'!K10+'[5]4)自建地产及经营性投资项目预算表'!K10</f>
        <v>0</v>
      </c>
      <c r="L10" s="157"/>
    </row>
    <row r="11" spans="1:12" ht="18" customHeight="1">
      <c r="A11" s="201">
        <f>'[3]4)自建地产及经营性投资项目预算表'!A11+'[4]4)自建地产及经营性投资项目预算表'!A11+'[5]4)自建地产及经营性投资项目预算表'!A11</f>
        <v>0</v>
      </c>
      <c r="B11" s="202">
        <f>'[3]4)自建地产及经营性投资项目预算表'!B11+'[4]4)自建地产及经营性投资项目预算表'!B11+'[5]4)自建地产及经营性投资项目预算表'!B11</f>
        <v>0</v>
      </c>
      <c r="C11" s="202">
        <f>'[3]4)自建地产及经营性投资项目预算表'!C11+'[4]4)自建地产及经营性投资项目预算表'!C11+'[5]4)自建地产及经营性投资项目预算表'!C11</f>
        <v>0</v>
      </c>
      <c r="D11" s="202">
        <f>'[3]4)自建地产及经营性投资项目预算表'!D11+'[4]4)自建地产及经营性投资项目预算表'!D11+'[5]4)自建地产及经营性投资项目预算表'!D11</f>
        <v>0</v>
      </c>
      <c r="E11" s="202">
        <f>'[3]4)自建地产及经营性投资项目预算表'!E11+'[4]4)自建地产及经营性投资项目预算表'!E11+'[5]4)自建地产及经营性投资项目预算表'!E11</f>
        <v>0</v>
      </c>
      <c r="F11" s="202">
        <f>'[3]4)自建地产及经营性投资项目预算表'!F11+'[4]4)自建地产及经营性投资项目预算表'!F11+'[5]4)自建地产及经营性投资项目预算表'!F11</f>
        <v>0</v>
      </c>
      <c r="G11" s="203">
        <f t="shared" si="0"/>
        <v>0</v>
      </c>
      <c r="H11" s="202">
        <f>'[3]4)自建地产及经营性投资项目预算表'!H11+'[4]4)自建地产及经营性投资项目预算表'!H11+'[5]4)自建地产及经营性投资项目预算表'!H11</f>
        <v>0</v>
      </c>
      <c r="I11" s="202">
        <f>'[3]4)自建地产及经营性投资项目预算表'!I11+'[4]4)自建地产及经营性投资项目预算表'!I11+'[5]4)自建地产及经营性投资项目预算表'!I11</f>
        <v>0</v>
      </c>
      <c r="J11" s="202">
        <f>'[3]4)自建地产及经营性投资项目预算表'!J11+'[4]4)自建地产及经营性投资项目预算表'!J11+'[5]4)自建地产及经营性投资项目预算表'!J11</f>
        <v>0</v>
      </c>
      <c r="K11" s="202">
        <f>'[3]4)自建地产及经营性投资项目预算表'!K11+'[4]4)自建地产及经营性投资项目预算表'!K11+'[5]4)自建地产及经营性投资项目预算表'!K11</f>
        <v>0</v>
      </c>
      <c r="L11" s="157"/>
    </row>
    <row r="12" spans="1:12" ht="18" customHeight="1">
      <c r="A12" s="201">
        <f>'[3]4)自建地产及经营性投资项目预算表'!A12+'[4]4)自建地产及经营性投资项目预算表'!A12+'[5]4)自建地产及经营性投资项目预算表'!A12</f>
        <v>0</v>
      </c>
      <c r="B12" s="202">
        <f>'[3]4)自建地产及经营性投资项目预算表'!B12+'[4]4)自建地产及经营性投资项目预算表'!B12+'[5]4)自建地产及经营性投资项目预算表'!B12</f>
        <v>0</v>
      </c>
      <c r="C12" s="202">
        <f>'[3]4)自建地产及经营性投资项目预算表'!C12+'[4]4)自建地产及经营性投资项目预算表'!C12+'[5]4)自建地产及经营性投资项目预算表'!C12</f>
        <v>0</v>
      </c>
      <c r="D12" s="202">
        <f>'[3]4)自建地产及经营性投资项目预算表'!D12+'[4]4)自建地产及经营性投资项目预算表'!D12+'[5]4)自建地产及经营性投资项目预算表'!D12</f>
        <v>0</v>
      </c>
      <c r="E12" s="202">
        <f>'[3]4)自建地产及经营性投资项目预算表'!E12+'[4]4)自建地产及经营性投资项目预算表'!E12+'[5]4)自建地产及经营性投资项目预算表'!E12</f>
        <v>0</v>
      </c>
      <c r="F12" s="202">
        <f>'[3]4)自建地产及经营性投资项目预算表'!F12+'[4]4)自建地产及经营性投资项目预算表'!F12+'[5]4)自建地产及经营性投资项目预算表'!F12</f>
        <v>0</v>
      </c>
      <c r="G12" s="203">
        <f t="shared" si="0"/>
        <v>0</v>
      </c>
      <c r="H12" s="202">
        <f>'[3]4)自建地产及经营性投资项目预算表'!H12+'[4]4)自建地产及经营性投资项目预算表'!H12+'[5]4)自建地产及经营性投资项目预算表'!H12</f>
        <v>0</v>
      </c>
      <c r="I12" s="202">
        <f>'[3]4)自建地产及经营性投资项目预算表'!I12+'[4]4)自建地产及经营性投资项目预算表'!I12+'[5]4)自建地产及经营性投资项目预算表'!I12</f>
        <v>0</v>
      </c>
      <c r="J12" s="202">
        <f>'[3]4)自建地产及经营性投资项目预算表'!J12+'[4]4)自建地产及经营性投资项目预算表'!J12+'[5]4)自建地产及经营性投资项目预算表'!J12</f>
        <v>0</v>
      </c>
      <c r="K12" s="202">
        <f>'[3]4)自建地产及经营性投资项目预算表'!K12+'[4]4)自建地产及经营性投资项目预算表'!K12+'[5]4)自建地产及经营性投资项目预算表'!K12</f>
        <v>0</v>
      </c>
      <c r="L12" s="157"/>
    </row>
    <row r="13" spans="1:12" ht="18" customHeight="1">
      <c r="A13" s="201">
        <f>'[3]4)自建地产及经营性投资项目预算表'!A13+'[4]4)自建地产及经营性投资项目预算表'!A13+'[5]4)自建地产及经营性投资项目预算表'!A13</f>
        <v>0</v>
      </c>
      <c r="B13" s="202">
        <f>'[3]4)自建地产及经营性投资项目预算表'!B13+'[4]4)自建地产及经营性投资项目预算表'!B13+'[5]4)自建地产及经营性投资项目预算表'!B13</f>
        <v>0</v>
      </c>
      <c r="C13" s="202">
        <f>'[3]4)自建地产及经营性投资项目预算表'!C13+'[4]4)自建地产及经营性投资项目预算表'!C13+'[5]4)自建地产及经营性投资项目预算表'!C13</f>
        <v>0</v>
      </c>
      <c r="D13" s="202">
        <f>'[3]4)自建地产及经营性投资项目预算表'!D13+'[4]4)自建地产及经营性投资项目预算表'!D13+'[5]4)自建地产及经营性投资项目预算表'!D13</f>
        <v>0</v>
      </c>
      <c r="E13" s="202">
        <f>'[3]4)自建地产及经营性投资项目预算表'!E13+'[4]4)自建地产及经营性投资项目预算表'!E13+'[5]4)自建地产及经营性投资项目预算表'!E13</f>
        <v>0</v>
      </c>
      <c r="F13" s="202">
        <f>'[3]4)自建地产及经营性投资项目预算表'!F13+'[4]4)自建地产及经营性投资项目预算表'!F13+'[5]4)自建地产及经营性投资项目预算表'!F13</f>
        <v>0</v>
      </c>
      <c r="G13" s="203">
        <f t="shared" si="0"/>
        <v>0</v>
      </c>
      <c r="H13" s="202">
        <f>'[3]4)自建地产及经营性投资项目预算表'!H13+'[4]4)自建地产及经营性投资项目预算表'!H13+'[5]4)自建地产及经营性投资项目预算表'!H13</f>
        <v>0</v>
      </c>
      <c r="I13" s="202">
        <f>'[3]4)自建地产及经营性投资项目预算表'!I13+'[4]4)自建地产及经营性投资项目预算表'!I13+'[5]4)自建地产及经营性投资项目预算表'!I13</f>
        <v>0</v>
      </c>
      <c r="J13" s="202">
        <f>'[3]4)自建地产及经营性投资项目预算表'!J13+'[4]4)自建地产及经营性投资项目预算表'!J13+'[5]4)自建地产及经营性投资项目预算表'!J13</f>
        <v>0</v>
      </c>
      <c r="K13" s="202">
        <f>'[3]4)自建地产及经营性投资项目预算表'!K13+'[4]4)自建地产及经营性投资项目预算表'!K13+'[5]4)自建地产及经营性投资项目预算表'!K13</f>
        <v>0</v>
      </c>
      <c r="L13" s="157"/>
    </row>
    <row r="14" spans="1:12" ht="18" customHeight="1">
      <c r="A14" s="201">
        <f>'[3]4)自建地产及经营性投资项目预算表'!A14+'[4]4)自建地产及经营性投资项目预算表'!A14+'[5]4)自建地产及经营性投资项目预算表'!A14</f>
        <v>0</v>
      </c>
      <c r="B14" s="202">
        <f>'[3]4)自建地产及经营性投资项目预算表'!B14+'[4]4)自建地产及经营性投资项目预算表'!B14+'[5]4)自建地产及经营性投资项目预算表'!B14</f>
        <v>0</v>
      </c>
      <c r="C14" s="202">
        <f>'[3]4)自建地产及经营性投资项目预算表'!C14+'[4]4)自建地产及经营性投资项目预算表'!C14+'[5]4)自建地产及经营性投资项目预算表'!C14</f>
        <v>0</v>
      </c>
      <c r="D14" s="202">
        <f>'[3]4)自建地产及经营性投资项目预算表'!D14+'[4]4)自建地产及经营性投资项目预算表'!D14+'[5]4)自建地产及经营性投资项目预算表'!D14</f>
        <v>0</v>
      </c>
      <c r="E14" s="202">
        <f>'[3]4)自建地产及经营性投资项目预算表'!E14+'[4]4)自建地产及经营性投资项目预算表'!E14+'[5]4)自建地产及经营性投资项目预算表'!E14</f>
        <v>0</v>
      </c>
      <c r="F14" s="202">
        <f>'[3]4)自建地产及经营性投资项目预算表'!F14+'[4]4)自建地产及经营性投资项目预算表'!F14+'[5]4)自建地产及经营性投资项目预算表'!F14</f>
        <v>0</v>
      </c>
      <c r="G14" s="203"/>
      <c r="H14" s="202">
        <f>'[3]4)自建地产及经营性投资项目预算表'!H14+'[4]4)自建地产及经营性投资项目预算表'!H14+'[5]4)自建地产及经营性投资项目预算表'!H14</f>
        <v>0</v>
      </c>
      <c r="I14" s="202">
        <f>'[3]4)自建地产及经营性投资项目预算表'!I14+'[4]4)自建地产及经营性投资项目预算表'!I14+'[5]4)自建地产及经营性投资项目预算表'!I14</f>
        <v>0</v>
      </c>
      <c r="J14" s="202">
        <f>'[3]4)自建地产及经营性投资项目预算表'!J14+'[4]4)自建地产及经营性投资项目预算表'!J14+'[5]4)自建地产及经营性投资项目预算表'!J14</f>
        <v>0</v>
      </c>
      <c r="K14" s="202">
        <f>'[3]4)自建地产及经营性投资项目预算表'!K14+'[4]4)自建地产及经营性投资项目预算表'!K14+'[5]4)自建地产及经营性投资项目预算表'!K14</f>
        <v>0</v>
      </c>
      <c r="L14" s="157"/>
    </row>
    <row r="15" spans="1:12" ht="18" customHeight="1">
      <c r="A15" s="201">
        <f>'[3]4)自建地产及经营性投资项目预算表'!A15+'[4]4)自建地产及经营性投资项目预算表'!A15+'[5]4)自建地产及经营性投资项目预算表'!A15</f>
        <v>0</v>
      </c>
      <c r="B15" s="202">
        <f>'[3]4)自建地产及经营性投资项目预算表'!B15+'[4]4)自建地产及经营性投资项目预算表'!B15+'[5]4)自建地产及经营性投资项目预算表'!B15</f>
        <v>0</v>
      </c>
      <c r="C15" s="202">
        <f>'[3]4)自建地产及经营性投资项目预算表'!C15+'[4]4)自建地产及经营性投资项目预算表'!C15+'[5]4)自建地产及经营性投资项目预算表'!C15</f>
        <v>0</v>
      </c>
      <c r="D15" s="202">
        <f>'[3]4)自建地产及经营性投资项目预算表'!D15+'[4]4)自建地产及经营性投资项目预算表'!D15+'[5]4)自建地产及经营性投资项目预算表'!D15</f>
        <v>0</v>
      </c>
      <c r="E15" s="202">
        <f>'[3]4)自建地产及经营性投资项目预算表'!E15+'[4]4)自建地产及经营性投资项目预算表'!E15+'[5]4)自建地产及经营性投资项目预算表'!E15</f>
        <v>0</v>
      </c>
      <c r="F15" s="202">
        <f>'[3]4)自建地产及经营性投资项目预算表'!F15+'[4]4)自建地产及经营性投资项目预算表'!F15+'[5]4)自建地产及经营性投资项目预算表'!F15</f>
        <v>0</v>
      </c>
      <c r="G15" s="203"/>
      <c r="H15" s="202">
        <f>'[3]4)自建地产及经营性投资项目预算表'!H15+'[4]4)自建地产及经营性投资项目预算表'!H15+'[5]4)自建地产及经营性投资项目预算表'!H15</f>
        <v>0</v>
      </c>
      <c r="I15" s="202">
        <f>'[3]4)自建地产及经营性投资项目预算表'!I15+'[4]4)自建地产及经营性投资项目预算表'!I15+'[5]4)自建地产及经营性投资项目预算表'!I15</f>
        <v>0</v>
      </c>
      <c r="J15" s="202">
        <f>'[3]4)自建地产及经营性投资项目预算表'!J15+'[4]4)自建地产及经营性投资项目预算表'!J15+'[5]4)自建地产及经营性投资项目预算表'!J15</f>
        <v>0</v>
      </c>
      <c r="K15" s="202">
        <f>'[3]4)自建地产及经营性投资项目预算表'!K15+'[4]4)自建地产及经营性投资项目预算表'!K15+'[5]4)自建地产及经营性投资项目预算表'!K15</f>
        <v>0</v>
      </c>
      <c r="L15" s="157"/>
    </row>
    <row r="16" spans="1:12" ht="18" customHeight="1">
      <c r="A16" s="151" t="s">
        <v>389</v>
      </c>
      <c r="B16" s="157"/>
      <c r="C16" s="157"/>
      <c r="D16" s="157"/>
      <c r="E16" s="152">
        <f aca="true" t="shared" si="1" ref="E16:K16">SUM(E5:E13)</f>
        <v>0</v>
      </c>
      <c r="F16" s="152">
        <f t="shared" si="1"/>
        <v>0</v>
      </c>
      <c r="G16" s="194">
        <f t="shared" si="1"/>
        <v>0</v>
      </c>
      <c r="H16" s="152">
        <f t="shared" si="1"/>
        <v>0</v>
      </c>
      <c r="I16" s="152">
        <f t="shared" si="1"/>
        <v>0</v>
      </c>
      <c r="J16" s="152">
        <f t="shared" si="1"/>
        <v>0</v>
      </c>
      <c r="K16" s="152">
        <f t="shared" si="1"/>
        <v>0</v>
      </c>
      <c r="L16" s="157"/>
    </row>
    <row r="17" spans="1:12" ht="18" customHeight="1">
      <c r="A17" s="157"/>
      <c r="B17" s="158" t="s">
        <v>340</v>
      </c>
      <c r="C17" s="157"/>
      <c r="D17" s="157"/>
      <c r="E17" s="157"/>
      <c r="F17" s="158" t="s">
        <v>341</v>
      </c>
      <c r="G17" s="157"/>
      <c r="H17" s="157"/>
      <c r="I17" s="157"/>
      <c r="J17" s="157"/>
      <c r="K17" s="157"/>
      <c r="L17" s="157"/>
    </row>
    <row r="18" spans="1:12" ht="18" customHeight="1">
      <c r="A18" s="157"/>
      <c r="B18" s="157"/>
      <c r="C18" s="157"/>
      <c r="D18" s="157"/>
      <c r="E18" s="157"/>
      <c r="F18" s="157"/>
      <c r="G18" s="157"/>
      <c r="H18" s="157"/>
      <c r="I18" s="157"/>
      <c r="J18" s="157"/>
      <c r="K18" s="157"/>
      <c r="L18" s="157"/>
    </row>
    <row r="19" spans="1:12" ht="18" customHeight="1">
      <c r="A19" s="157"/>
      <c r="B19" s="157"/>
      <c r="C19" s="157"/>
      <c r="D19" s="157"/>
      <c r="E19" s="157"/>
      <c r="F19" s="157"/>
      <c r="G19" s="157"/>
      <c r="H19" s="157"/>
      <c r="I19" s="157"/>
      <c r="J19" s="157"/>
      <c r="K19" s="157"/>
      <c r="L19" s="157"/>
    </row>
    <row r="20" spans="1:12" ht="18" customHeight="1">
      <c r="A20" s="157"/>
      <c r="B20" s="157"/>
      <c r="C20" s="157"/>
      <c r="D20" s="157"/>
      <c r="E20" s="157"/>
      <c r="F20" s="157"/>
      <c r="G20" s="157"/>
      <c r="H20" s="157"/>
      <c r="I20" s="157"/>
      <c r="J20" s="157"/>
      <c r="K20" s="157"/>
      <c r="L20" s="157"/>
    </row>
  </sheetData>
  <sheetProtection password="C47F" sheet="1" objects="1" formatCells="0" insertRows="0"/>
  <protectedRanges>
    <protectedRange password="C47F" sqref="G5:G16 E16:K16" name="区域1"/>
  </protectedRanges>
  <mergeCells count="9">
    <mergeCell ref="A1:L1"/>
    <mergeCell ref="G3:K3"/>
    <mergeCell ref="A3:A4"/>
    <mergeCell ref="B3:B4"/>
    <mergeCell ref="C3:C4"/>
    <mergeCell ref="D3:D4"/>
    <mergeCell ref="E3:E4"/>
    <mergeCell ref="F3:F4"/>
    <mergeCell ref="L3:L4"/>
  </mergeCells>
  <printOptions/>
  <pageMargins left="0.75" right="0.75" top="0.98" bottom="0.98" header="0.51" footer="0.51"/>
  <pageSetup fitToHeight="1" fitToWidth="1" horizontalDpi="300" verticalDpi="300" orientation="landscape" paperSize="9" scale="88"/>
  <legacyDrawing r:id="rId2"/>
</worksheet>
</file>

<file path=xl/worksheets/sheet40.xml><?xml version="1.0" encoding="utf-8"?>
<worksheet xmlns="http://schemas.openxmlformats.org/spreadsheetml/2006/main" xmlns:r="http://schemas.openxmlformats.org/officeDocument/2006/relationships">
  <sheetPr>
    <pageSetUpPr fitToPage="1"/>
  </sheetPr>
  <dimension ref="A1:N51"/>
  <sheetViews>
    <sheetView workbookViewId="0" topLeftCell="C23">
      <selection activeCell="E46" sqref="E46"/>
    </sheetView>
  </sheetViews>
  <sheetFormatPr defaultColWidth="9.140625" defaultRowHeight="12.75"/>
  <cols>
    <col min="1" max="1" width="39.421875" style="0" customWidth="1"/>
    <col min="2" max="4" width="16.7109375" style="0" customWidth="1"/>
    <col min="5" max="5" width="15.28125" style="0" customWidth="1"/>
    <col min="6" max="9" width="13.8515625" style="0" customWidth="1"/>
    <col min="10" max="10" width="11.00390625" style="0" customWidth="1"/>
    <col min="11" max="11" width="9.140625" style="0" customWidth="1"/>
    <col min="13" max="13" width="14.00390625" style="0" bestFit="1" customWidth="1"/>
    <col min="14" max="14" width="14.00390625" style="0" customWidth="1"/>
    <col min="15" max="15" width="12.8515625" style="0" bestFit="1" customWidth="1"/>
  </cols>
  <sheetData>
    <row r="1" spans="1:11" ht="24.75" customHeight="1">
      <c r="A1" s="1" t="s">
        <v>1040</v>
      </c>
      <c r="B1" s="1" t="s">
        <v>1040</v>
      </c>
      <c r="C1" s="1" t="s">
        <v>1040</v>
      </c>
      <c r="D1" s="1" t="s">
        <v>1040</v>
      </c>
      <c r="E1" s="1" t="s">
        <v>1040</v>
      </c>
      <c r="F1" s="1" t="s">
        <v>1040</v>
      </c>
      <c r="G1" s="1" t="s">
        <v>1040</v>
      </c>
      <c r="H1" s="1" t="s">
        <v>1040</v>
      </c>
      <c r="I1" s="1" t="s">
        <v>1040</v>
      </c>
      <c r="J1" s="1" t="s">
        <v>1040</v>
      </c>
      <c r="K1" s="1" t="s">
        <v>1040</v>
      </c>
    </row>
    <row r="2" spans="1:11" ht="18" customHeight="1">
      <c r="A2" s="2" t="s">
        <v>287</v>
      </c>
      <c r="B2" s="3"/>
      <c r="C2" s="3"/>
      <c r="D2" s="3"/>
      <c r="E2" s="4" t="s">
        <v>288</v>
      </c>
      <c r="F2" s="5"/>
      <c r="G2" s="5"/>
      <c r="H2" s="5"/>
      <c r="I2" s="5"/>
      <c r="J2" s="16" t="s">
        <v>1</v>
      </c>
      <c r="K2" s="5"/>
    </row>
    <row r="3" spans="1:11" ht="18.75" customHeight="1">
      <c r="A3" s="6" t="s">
        <v>290</v>
      </c>
      <c r="B3" s="7" t="s">
        <v>366</v>
      </c>
      <c r="C3" s="7"/>
      <c r="D3" s="8"/>
      <c r="E3" s="9" t="s">
        <v>292</v>
      </c>
      <c r="F3" s="9" t="s">
        <v>292</v>
      </c>
      <c r="G3" s="9" t="s">
        <v>292</v>
      </c>
      <c r="H3" s="9" t="s">
        <v>292</v>
      </c>
      <c r="I3" s="9" t="s">
        <v>292</v>
      </c>
      <c r="J3" s="9" t="s">
        <v>293</v>
      </c>
      <c r="K3" s="18" t="s">
        <v>33</v>
      </c>
    </row>
    <row r="4" spans="1:11" ht="18" customHeight="1">
      <c r="A4" s="6" t="s">
        <v>290</v>
      </c>
      <c r="B4" s="9" t="s">
        <v>463</v>
      </c>
      <c r="C4" s="9" t="s">
        <v>296</v>
      </c>
      <c r="D4" s="9" t="s">
        <v>464</v>
      </c>
      <c r="E4" s="9" t="s">
        <v>314</v>
      </c>
      <c r="F4" s="9" t="s">
        <v>324</v>
      </c>
      <c r="G4" s="9" t="s">
        <v>331</v>
      </c>
      <c r="H4" s="9" t="s">
        <v>334</v>
      </c>
      <c r="I4" s="9" t="s">
        <v>336</v>
      </c>
      <c r="J4" s="9" t="s">
        <v>293</v>
      </c>
      <c r="K4" s="18" t="s">
        <v>33</v>
      </c>
    </row>
    <row r="5" spans="1:11" ht="19.5" customHeight="1">
      <c r="A5" s="10" t="s">
        <v>1041</v>
      </c>
      <c r="B5" s="11">
        <f>SUM(B6:B12)</f>
        <v>51464354.91</v>
      </c>
      <c r="C5" s="11">
        <f>B46</f>
        <v>53656160.74999999</v>
      </c>
      <c r="D5" s="11">
        <f>B5</f>
        <v>51464354.91</v>
      </c>
      <c r="E5" s="11">
        <f>D46</f>
        <v>54043231.472799994</v>
      </c>
      <c r="F5" s="11">
        <f>D46</f>
        <v>54043231.472799994</v>
      </c>
      <c r="G5" s="11">
        <f>F46</f>
        <v>53612802.42983009</v>
      </c>
      <c r="H5" s="11">
        <f>G46</f>
        <v>53714627.439108916</v>
      </c>
      <c r="I5" s="11">
        <f>H46</f>
        <v>54563358.362338565</v>
      </c>
      <c r="J5" s="34">
        <f>(I5-D5)/D5</f>
        <v>0.06021650242693325</v>
      </c>
      <c r="K5" s="5"/>
    </row>
    <row r="6" spans="1:11" ht="19.5" customHeight="1">
      <c r="A6" s="10" t="s">
        <v>1042</v>
      </c>
      <c r="B6" s="21">
        <f>'[3]23)资金预算表总表'!B6+'[4]24)资金预算表总表'!B6+'[5]24)资金预算表总表'!B6</f>
        <v>4567.39</v>
      </c>
      <c r="C6" s="21">
        <f>'[3]23)资金预算表总表'!C6+'[4]24)资金预算表总表'!C6+'[5]24)资金预算表总表'!C6</f>
        <v>4337.9</v>
      </c>
      <c r="D6" s="21">
        <f>'[3]23)资金预算表总表'!D6+'[4]24)资金预算表总表'!D6+'[5]24)资金预算表总表'!D6</f>
        <v>4567.39</v>
      </c>
      <c r="E6" s="21">
        <f>'[3]23)资金预算表总表'!E6+'[4]24)资金预算表总表'!E6+'[5]24)资金预算表总表'!E6</f>
        <v>6239.5</v>
      </c>
      <c r="F6" s="21">
        <f>'[3]23)资金预算表总表'!F6+'[4]24)资金预算表总表'!F6+'[5]24)资金预算表总表'!F6</f>
        <v>6502.200000000001</v>
      </c>
      <c r="G6" s="21">
        <f>'[3]23)资金预算表总表'!G6+'[4]24)资金预算表总表'!G6+'[5]24)资金预算表总表'!G6</f>
        <v>6780.4</v>
      </c>
      <c r="H6" s="21">
        <f>'[3]23)资金预算表总表'!H6+'[4]24)资金预算表总表'!H6+'[5]24)资金预算表总表'!H6</f>
        <v>6806.299999999999</v>
      </c>
      <c r="I6" s="21">
        <f>'[3]23)资金预算表总表'!I6+'[4]24)资金预算表总表'!I6+'[5]24)资金预算表总表'!I6</f>
        <v>6717.5</v>
      </c>
      <c r="J6" s="34">
        <f aca="true" t="shared" si="0" ref="J6:J12">(I6-D6)/D6</f>
        <v>0.47075244286124013</v>
      </c>
      <c r="K6" s="5"/>
    </row>
    <row r="7" spans="1:11" ht="19.5" customHeight="1">
      <c r="A7" s="10" t="s">
        <v>1043</v>
      </c>
      <c r="B7" s="21">
        <f>'[3]23)资金预算表总表'!B7+'[4]24)资金预算表总表'!B7+'[5]24)资金预算表总表'!B7</f>
        <v>47388511.75</v>
      </c>
      <c r="C7" s="21">
        <f>'[3]23)资金预算表总表'!C7+'[4]24)资金预算表总表'!C7+'[5]24)资金预算表总表'!C7</f>
        <v>50206286.03</v>
      </c>
      <c r="D7" s="21">
        <f>'[3]23)资金预算表总表'!D7+'[4]24)资金预算表总表'!D7+'[5]24)资金预算表总表'!D7</f>
        <v>47388511.75</v>
      </c>
      <c r="E7" s="21">
        <f>'[3]23)资金预算表总表'!E7+'[4]24)资金预算表总表'!E7+'[5]24)资金预算表总表'!E7</f>
        <v>51552642.69279999</v>
      </c>
      <c r="F7" s="21">
        <f>'[3]23)资金预算表总表'!F7+'[4]24)资金预算表总表'!F7+'[5]24)资金预算表总表'!F7</f>
        <v>51552250.822799996</v>
      </c>
      <c r="G7" s="21">
        <f>'[3]23)资金预算表总表'!G7+'[4]24)资金预算表总表'!G7+'[5]24)资金预算表总表'!G7</f>
        <v>48720838.30983008</v>
      </c>
      <c r="H7" s="21">
        <f>'[3]23)资金预算表总表'!H7+'[4]24)资金预算表总表'!H7+'[5]24)资金预算表总表'!H7</f>
        <v>49421932.14910892</v>
      </c>
      <c r="I7" s="21">
        <f>'[3]23)资金预算表总表'!I7+'[4]24)资金预算表总表'!I7+'[5]24)资金预算表总表'!I7</f>
        <v>50870046.60233856</v>
      </c>
      <c r="J7" s="34">
        <f t="shared" si="0"/>
        <v>0.07346790865063535</v>
      </c>
      <c r="K7" s="5"/>
    </row>
    <row r="8" spans="1:11" ht="19.5" customHeight="1">
      <c r="A8" s="10" t="s">
        <v>1044</v>
      </c>
      <c r="B8" s="21">
        <f>'[3]23)资金预算表总表'!B8+'[4]24)资金预算表总表'!B8+'[5]24)资金预算表总表'!B8</f>
        <v>205165.90999999997</v>
      </c>
      <c r="C8" s="21">
        <f>'[3]23)资金预算表总表'!C8+'[4]24)资金预算表总表'!C8+'[5]24)资金预算表总表'!C8</f>
        <v>174056.95</v>
      </c>
      <c r="D8" s="21">
        <f>'[3]23)资金预算表总表'!D8+'[4]24)资金预算表总表'!D8+'[5]24)资金预算表总表'!D8</f>
        <v>205165.90999999997</v>
      </c>
      <c r="E8" s="21">
        <f>'[3]23)资金预算表总表'!E8+'[4]24)资金预算表总表'!E8+'[5]24)资金预算表总表'!E8</f>
        <v>174822.95</v>
      </c>
      <c r="F8" s="21">
        <f>'[3]23)资金预算表总表'!F8+'[4]24)资金预算表总表'!F8+'[5]24)资金预算表总表'!F8</f>
        <v>174952.12000000002</v>
      </c>
      <c r="G8" s="21">
        <f>'[3]23)资金预算表总表'!G8+'[4]24)资金预算表总表'!G8+'[5]24)资金预算表总表'!G8</f>
        <v>175081.29000000004</v>
      </c>
      <c r="H8" s="21">
        <f>'[3]23)资金预算表总表'!H8+'[4]24)资金预算表总表'!H8+'[5]24)资金预算表总表'!H8</f>
        <v>175210.46000000005</v>
      </c>
      <c r="I8" s="21">
        <f>'[3]23)资金预算表总表'!I8+'[4]24)资金预算表总表'!I8+'[5]24)资金预算表总表'!I8</f>
        <v>175339.63000000006</v>
      </c>
      <c r="J8" s="34">
        <f t="shared" si="0"/>
        <v>-0.14537639318344805</v>
      </c>
      <c r="K8" s="5"/>
    </row>
    <row r="9" spans="1:11" ht="19.5" customHeight="1">
      <c r="A9" s="10" t="s">
        <v>1045</v>
      </c>
      <c r="B9" s="21">
        <f>'[3]23)资金预算表总表'!B9+'[4]24)资金预算表总表'!B9+'[5]24)资金预算表总表'!B9</f>
        <v>949998.85</v>
      </c>
      <c r="C9" s="21">
        <f>'[3]23)资金预算表总表'!C9+'[4]24)资金预算表总表'!C9+'[5]24)资金预算表总表'!C9</f>
        <v>812158.8099999999</v>
      </c>
      <c r="D9" s="21">
        <f>'[3]23)资金预算表总表'!D9+'[4]24)资金预算表总表'!D9+'[5]24)资金预算表总表'!D9</f>
        <v>949998.85</v>
      </c>
      <c r="E9" s="21">
        <f>'[3]23)资金预算表总表'!E9+'[4]24)资金预算表总表'!E9+'[5]24)资金预算表总表'!E9</f>
        <v>850205.27</v>
      </c>
      <c r="F9" s="21">
        <f>'[3]23)资金预算表总表'!F9+'[4]24)资金预算表总表'!F9+'[5]24)资金预算表总表'!F9</f>
        <v>850205.27</v>
      </c>
      <c r="G9" s="21">
        <f>'[3]23)资金预算表总表'!G9+'[4]24)资金预算表总表'!G9+'[5]24)资金预算表总表'!G9</f>
        <v>850781.37</v>
      </c>
      <c r="H9" s="21">
        <f>'[3]23)资金预算表总表'!H9+'[4]24)资金预算表总表'!H9+'[5]24)资金预算表总表'!H9</f>
        <v>851357.47</v>
      </c>
      <c r="I9" s="21">
        <f>'[3]23)资金预算表总表'!I9+'[4]24)资金预算表总表'!I9+'[5]24)资金预算表总表'!I9</f>
        <v>851933.57</v>
      </c>
      <c r="J9" s="34">
        <f t="shared" si="0"/>
        <v>-0.10322673548499561</v>
      </c>
      <c r="K9" s="5"/>
    </row>
    <row r="10" spans="1:11" ht="19.5" customHeight="1">
      <c r="A10" s="10" t="s">
        <v>1046</v>
      </c>
      <c r="B10" s="21">
        <f>'[3]23)资金预算表总表'!B10+'[4]24)资金预算表总表'!B10+'[5]24)资金预算表总表'!B10</f>
        <v>2916111.01</v>
      </c>
      <c r="C10" s="21">
        <f>'[3]23)资金预算表总表'!C10+'[4]24)资金预算表总表'!C10+'[5]24)资金预算表总表'!C10</f>
        <v>2459321.059999995</v>
      </c>
      <c r="D10" s="21">
        <f>'[3]23)资金预算表总表'!D10+'[4]24)资金预算表总表'!D10+'[5]24)资金预算表总表'!D10</f>
        <v>2916111.01</v>
      </c>
      <c r="E10" s="21">
        <f>'[3]23)资金预算表总表'!E10+'[4]24)资金预算表总表'!E10+'[5]24)资金预算表总表'!E10</f>
        <v>1459321.06</v>
      </c>
      <c r="F10" s="21">
        <f>'[3]23)资金预算表总表'!F10+'[4]24)资金预算表总表'!F10+'[5]24)资金预算表总表'!F10</f>
        <v>1459321.06</v>
      </c>
      <c r="G10" s="21">
        <f>'[3]23)资金预算表总表'!G10+'[4]24)资金预算表总表'!G10+'[5]24)资金预算表总表'!G10</f>
        <v>3859321.0600000005</v>
      </c>
      <c r="H10" s="21">
        <f>'[3]23)资金预算表总表'!H10+'[4]24)资金预算表总表'!H10+'[5]24)资金预算表总表'!H10</f>
        <v>3259321.0600000005</v>
      </c>
      <c r="I10" s="21">
        <f>'[3]23)资金预算表总表'!I10+'[4]24)资金预算表总表'!I10+'[5]24)资金预算表总表'!I10</f>
        <v>2659321.0600000005</v>
      </c>
      <c r="J10" s="34">
        <f t="shared" si="0"/>
        <v>-0.08805904477552769</v>
      </c>
      <c r="K10" s="5"/>
    </row>
    <row r="11" spans="1:11" ht="19.5" customHeight="1">
      <c r="A11" s="10" t="s">
        <v>1047</v>
      </c>
      <c r="B11" s="21">
        <f>'[3]23)资金预算表总表'!B11+'[4]24)资金预算表总表'!B11+'[5]24)资金预算表总表'!B11</f>
        <v>0</v>
      </c>
      <c r="C11" s="21">
        <f>'[3]23)资金预算表总表'!C11+'[4]24)资金预算表总表'!C11+'[5]24)资金预算表总表'!C11</f>
        <v>0</v>
      </c>
      <c r="D11" s="21">
        <f>'[3]23)资金预算表总表'!D11+'[4]24)资金预算表总表'!D11+'[5]24)资金预算表总表'!D11</f>
        <v>0</v>
      </c>
      <c r="E11" s="21">
        <f>'[3]23)资金预算表总表'!E11+'[4]24)资金预算表总表'!E11+'[5]24)资金预算表总表'!E11</f>
        <v>0</v>
      </c>
      <c r="F11" s="21">
        <f>'[3]23)资金预算表总表'!F11+'[4]24)资金预算表总表'!F11+'[5]24)资金预算表总表'!F11</f>
        <v>0</v>
      </c>
      <c r="G11" s="21">
        <f>'[3]23)资金预算表总表'!G11+'[4]24)资金预算表总表'!G11+'[5]24)资金预算表总表'!G11</f>
        <v>0</v>
      </c>
      <c r="H11" s="21">
        <f>'[3]23)资金预算表总表'!H11+'[4]24)资金预算表总表'!H11+'[5]24)资金预算表总表'!H11</f>
        <v>0</v>
      </c>
      <c r="I11" s="21">
        <f>'[3]23)资金预算表总表'!I11+'[4]24)资金预算表总表'!I11+'[5]24)资金预算表总表'!I11</f>
        <v>0</v>
      </c>
      <c r="J11" s="34" t="e">
        <f t="shared" si="0"/>
        <v>#DIV/0!</v>
      </c>
      <c r="K11" s="5"/>
    </row>
    <row r="12" spans="1:11" ht="19.5" customHeight="1">
      <c r="A12" s="10" t="s">
        <v>1048</v>
      </c>
      <c r="B12" s="21"/>
      <c r="C12" s="21"/>
      <c r="D12" s="32"/>
      <c r="E12" s="32">
        <f>I12</f>
        <v>0</v>
      </c>
      <c r="F12" s="32"/>
      <c r="G12" s="32"/>
      <c r="H12" s="32"/>
      <c r="I12" s="32"/>
      <c r="J12" s="34" t="e">
        <f t="shared" si="0"/>
        <v>#DIV/0!</v>
      </c>
      <c r="K12" s="5"/>
    </row>
    <row r="13" spans="1:13" ht="19.5" customHeight="1">
      <c r="A13" s="33" t="s">
        <v>1049</v>
      </c>
      <c r="B13" s="11">
        <f>'25)经营活动现金流量预算'!B5</f>
        <v>2865717.5999999978</v>
      </c>
      <c r="C13" s="11">
        <f>'25)经营活动现金流量预算'!C5</f>
        <v>462909.72280000057</v>
      </c>
      <c r="D13" s="11">
        <f aca="true" t="shared" si="1" ref="D13:D43">B13+C13</f>
        <v>3328627.3227999983</v>
      </c>
      <c r="E13" s="11">
        <f>E14-E18</f>
        <v>4146164.0794111267</v>
      </c>
      <c r="F13" s="11">
        <f>F14-F18</f>
        <v>117603.64759009518</v>
      </c>
      <c r="G13" s="11">
        <f>G14-G18</f>
        <v>368013.0092788264</v>
      </c>
      <c r="H13" s="11">
        <f>H14-H18</f>
        <v>962480.9232296478</v>
      </c>
      <c r="I13" s="11">
        <f>I14-I18</f>
        <v>2698066.499312559</v>
      </c>
      <c r="J13" s="34">
        <f>(E13-D13)/D13</f>
        <v>0.24560777681877194</v>
      </c>
      <c r="K13" s="5"/>
      <c r="M13">
        <f>'[3]23)资金预算表总表'!E13+'[5]24)资金预算表总表'!E13+'[4]24)资金预算表总表'!E13</f>
        <v>4146164.079411122</v>
      </c>
    </row>
    <row r="14" spans="1:13" ht="19.5" customHeight="1">
      <c r="A14" s="33" t="s">
        <v>1050</v>
      </c>
      <c r="B14" s="11">
        <f>'25)经营活动现金流量预算'!B6</f>
        <v>23804953.49</v>
      </c>
      <c r="C14" s="11">
        <f>'25)经营活动现金流量预算'!C6</f>
        <v>4470957.9</v>
      </c>
      <c r="D14" s="11">
        <f t="shared" si="1"/>
        <v>28275911.39</v>
      </c>
      <c r="E14" s="11">
        <f>F14+G14+H14+I14</f>
        <v>32258401.766981132</v>
      </c>
      <c r="F14" s="11">
        <f>F15+F16+F17</f>
        <v>9462806.477169812</v>
      </c>
      <c r="G14" s="11">
        <f>G15+G16+G17</f>
        <v>6418338.692264151</v>
      </c>
      <c r="H14" s="11">
        <f>H15+H16+H17</f>
        <v>6809805.903773584</v>
      </c>
      <c r="I14" s="11">
        <f>I15+I16+I17</f>
        <v>9567450.693773586</v>
      </c>
      <c r="J14" s="34">
        <f aca="true" t="shared" si="2" ref="J14:J45">(E14-D14)/D14</f>
        <v>0.1408439261975326</v>
      </c>
      <c r="K14" s="5"/>
      <c r="M14" s="35">
        <f>M13-E13</f>
        <v>-4.6566128730773926E-09</v>
      </c>
    </row>
    <row r="15" spans="1:11" ht="19.5" customHeight="1">
      <c r="A15" s="33" t="s">
        <v>1051</v>
      </c>
      <c r="B15" s="11">
        <f>'25)经营活动现金流量预算'!B7</f>
        <v>19454419.63</v>
      </c>
      <c r="C15" s="11">
        <f>'25)经营活动现金流量预算'!C7</f>
        <v>3921866.0300000003</v>
      </c>
      <c r="D15" s="11">
        <f t="shared" si="1"/>
        <v>23376285.66</v>
      </c>
      <c r="E15" s="11">
        <f aca="true" t="shared" si="3" ref="E15:E43">F15+G15+H15+I15</f>
        <v>30753884.60698113</v>
      </c>
      <c r="F15" s="11">
        <f>'25)经营活动现金流量预算'!F7</f>
        <v>9079641.93716981</v>
      </c>
      <c r="G15" s="11">
        <f>'25)经营活动现金流量预算'!G7</f>
        <v>6041421.152264151</v>
      </c>
      <c r="H15" s="11">
        <f>'25)经营活动现金流量预算'!H7</f>
        <v>6438488.363773584</v>
      </c>
      <c r="I15" s="11">
        <f>'25)经营活动现金流量预算'!I7</f>
        <v>9194333.153773585</v>
      </c>
      <c r="J15" s="34">
        <f t="shared" si="2"/>
        <v>0.3156018477137795</v>
      </c>
      <c r="K15" s="5"/>
    </row>
    <row r="16" spans="1:11" ht="19.5" customHeight="1">
      <c r="A16" s="33" t="s">
        <v>1052</v>
      </c>
      <c r="B16" s="11">
        <f>'25)经营活动现金流量预算'!B8</f>
        <v>75869.45</v>
      </c>
      <c r="C16" s="11">
        <f>'25)经营活动现金流量预算'!C8</f>
        <v>0</v>
      </c>
      <c r="D16" s="11">
        <f t="shared" si="1"/>
        <v>75869.45</v>
      </c>
      <c r="E16" s="11">
        <f t="shared" si="3"/>
        <v>0</v>
      </c>
      <c r="F16" s="11">
        <f>'25)经营活动现金流量预算'!F8</f>
        <v>0</v>
      </c>
      <c r="G16" s="11">
        <f>'25)经营活动现金流量预算'!G8</f>
        <v>0</v>
      </c>
      <c r="H16" s="11">
        <f>'25)经营活动现金流量预算'!H8</f>
        <v>0</v>
      </c>
      <c r="I16" s="11">
        <f>'25)经营活动现金流量预算'!I8</f>
        <v>0</v>
      </c>
      <c r="J16" s="34">
        <f t="shared" si="2"/>
        <v>-1</v>
      </c>
      <c r="K16" s="5"/>
    </row>
    <row r="17" spans="1:11" ht="19.5" customHeight="1">
      <c r="A17" s="33" t="s">
        <v>1053</v>
      </c>
      <c r="B17" s="11">
        <f>'25)经营活动现金流量预算'!B9</f>
        <v>4274664.41</v>
      </c>
      <c r="C17" s="11">
        <f>'25)经营活动现金流量预算'!C9</f>
        <v>549091.87</v>
      </c>
      <c r="D17" s="11">
        <f t="shared" si="1"/>
        <v>4823756.28</v>
      </c>
      <c r="E17" s="11">
        <f t="shared" si="3"/>
        <v>1504517.1600000001</v>
      </c>
      <c r="F17" s="11">
        <f>'25)经营活动现金流量预算'!F9</f>
        <v>383164.54000000004</v>
      </c>
      <c r="G17" s="11">
        <f>'25)经营活动现金流量预算'!G9</f>
        <v>376917.54000000004</v>
      </c>
      <c r="H17" s="11">
        <f>'25)经营活动现金流量预算'!H9</f>
        <v>371317.54000000004</v>
      </c>
      <c r="I17" s="11">
        <f>'25)经营活动现金流量预算'!I9</f>
        <v>373117.54000000004</v>
      </c>
      <c r="J17" s="34">
        <f t="shared" si="2"/>
        <v>-0.6881025755306195</v>
      </c>
      <c r="K17" s="5"/>
    </row>
    <row r="18" spans="1:11" ht="19.5" customHeight="1">
      <c r="A18" s="33" t="s">
        <v>1054</v>
      </c>
      <c r="B18" s="11">
        <f>'25)经营活动现金流量预算'!B15</f>
        <v>20939235.89</v>
      </c>
      <c r="C18" s="11">
        <f>'25)经营活动现金流量预算'!C15</f>
        <v>4008048.1772</v>
      </c>
      <c r="D18" s="11">
        <f t="shared" si="1"/>
        <v>24947284.0672</v>
      </c>
      <c r="E18" s="11">
        <f t="shared" si="3"/>
        <v>28112237.687570006</v>
      </c>
      <c r="F18" s="11">
        <f>F19+F20+F21+F22</f>
        <v>9345202.829579717</v>
      </c>
      <c r="G18" s="11">
        <f>G19+G20+G21+G22</f>
        <v>6050325.682985324</v>
      </c>
      <c r="H18" s="11">
        <f>H19+H20+H21+H22</f>
        <v>5847324.980543937</v>
      </c>
      <c r="I18" s="11">
        <f>I19+I20+I21+I22</f>
        <v>6869384.194461027</v>
      </c>
      <c r="J18" s="34">
        <f t="shared" si="2"/>
        <v>0.12686565847587383</v>
      </c>
      <c r="K18" s="5"/>
    </row>
    <row r="19" spans="1:11" ht="19.5" customHeight="1">
      <c r="A19" s="33" t="s">
        <v>1055</v>
      </c>
      <c r="B19" s="11">
        <f>'25)经营活动现金流量预算'!B16</f>
        <v>707194.78</v>
      </c>
      <c r="C19" s="11">
        <f>'25)经营活动现金流量预算'!C16</f>
        <v>250000</v>
      </c>
      <c r="D19" s="11">
        <f t="shared" si="1"/>
        <v>957194.78</v>
      </c>
      <c r="E19" s="11">
        <f t="shared" si="3"/>
        <v>2248451.6</v>
      </c>
      <c r="F19" s="11">
        <f>'25)经营活动现金流量预算'!F16</f>
        <v>555223</v>
      </c>
      <c r="G19" s="11">
        <f>'25)经营活动现金流量预算'!G16</f>
        <v>355640</v>
      </c>
      <c r="H19" s="11">
        <f>'25)经营活动现金流量预算'!H16</f>
        <v>492140</v>
      </c>
      <c r="I19" s="11">
        <f>'25)经营活动现金流量预算'!I16</f>
        <v>845448.6</v>
      </c>
      <c r="J19" s="34">
        <f t="shared" si="2"/>
        <v>1.3490011092622132</v>
      </c>
      <c r="K19" s="5"/>
    </row>
    <row r="20" spans="1:11" ht="19.5" customHeight="1">
      <c r="A20" s="33" t="s">
        <v>1056</v>
      </c>
      <c r="B20" s="11">
        <f>'25)经营活动现金流量预算'!B17</f>
        <v>12498139.27</v>
      </c>
      <c r="C20" s="11">
        <f>'25)经营活动现金流量预算'!C17</f>
        <v>2093017.4699999997</v>
      </c>
      <c r="D20" s="11">
        <f t="shared" si="1"/>
        <v>14591156.739999998</v>
      </c>
      <c r="E20" s="11">
        <f t="shared" si="3"/>
        <v>19260479.3107</v>
      </c>
      <c r="F20" s="11">
        <f>'25)经营活动现金流量预算'!F17</f>
        <v>7725759.5488249995</v>
      </c>
      <c r="G20" s="11">
        <f>'25)经营活动现金流量预算'!G17</f>
        <v>3674456.8606249997</v>
      </c>
      <c r="H20" s="11">
        <f>'25)经营活动现金流量预算'!H17</f>
        <v>3949981.560625</v>
      </c>
      <c r="I20" s="11">
        <f>'25)经营活动现金流量预算'!I17</f>
        <v>3910281.340625</v>
      </c>
      <c r="J20" s="34">
        <f t="shared" si="2"/>
        <v>0.3200104456351691</v>
      </c>
      <c r="K20" s="5"/>
    </row>
    <row r="21" spans="1:11" ht="19.5" customHeight="1">
      <c r="A21" s="33" t="s">
        <v>1057</v>
      </c>
      <c r="B21" s="11">
        <f>'25)经营活动现金流量预算'!B24</f>
        <v>2272750.24</v>
      </c>
      <c r="C21" s="11">
        <f>'25)经营活动现金流量预算'!C24</f>
        <v>267904.7572</v>
      </c>
      <c r="D21" s="11">
        <f t="shared" si="1"/>
        <v>2540654.9972</v>
      </c>
      <c r="E21" s="11">
        <f t="shared" si="3"/>
        <v>2037154.0968700068</v>
      </c>
      <c r="F21" s="11">
        <f>'25)经营活动现金流量预算'!F24</f>
        <v>261029.84075471698</v>
      </c>
      <c r="G21" s="11">
        <f>'25)经营活动现金流量预算'!G24</f>
        <v>411065.84736032534</v>
      </c>
      <c r="H21" s="11">
        <f>'25)经营活动现金流量预算'!H24</f>
        <v>396373.6949189372</v>
      </c>
      <c r="I21" s="11">
        <f>'25)经营活动现金流量预算'!I24</f>
        <v>968684.7138360273</v>
      </c>
      <c r="J21" s="34">
        <f t="shared" si="2"/>
        <v>-0.19817759628319886</v>
      </c>
      <c r="K21" s="5"/>
    </row>
    <row r="22" spans="1:11" ht="19.5" customHeight="1">
      <c r="A22" s="33" t="s">
        <v>1058</v>
      </c>
      <c r="B22" s="11">
        <f>'25)经营活动现金流量预算'!B30</f>
        <v>5461151.6</v>
      </c>
      <c r="C22" s="11">
        <f>'25)经营活动现金流量预算'!C30</f>
        <v>1397125.95</v>
      </c>
      <c r="D22" s="11">
        <f t="shared" si="1"/>
        <v>6858277.55</v>
      </c>
      <c r="E22" s="11">
        <f t="shared" si="3"/>
        <v>4566152.68</v>
      </c>
      <c r="F22" s="11">
        <f>'25)经营活动现金流量预算'!F30</f>
        <v>803190.44</v>
      </c>
      <c r="G22" s="11">
        <f>'25)经营活动现金流量预算'!G30</f>
        <v>1609162.975</v>
      </c>
      <c r="H22" s="11">
        <f>'25)经营活动现金流量预算'!H30</f>
        <v>1008829.725</v>
      </c>
      <c r="I22" s="11">
        <f>'25)经营活动现金流量预算'!I30</f>
        <v>1144969.54</v>
      </c>
      <c r="J22" s="34">
        <f t="shared" si="2"/>
        <v>-0.3342129059795779</v>
      </c>
      <c r="K22" s="5"/>
    </row>
    <row r="23" spans="1:13" ht="19.5" customHeight="1">
      <c r="A23" s="33" t="s">
        <v>1059</v>
      </c>
      <c r="B23" s="11">
        <f>'26)投资活动现金流量预算'!B5</f>
        <v>-302511.76</v>
      </c>
      <c r="C23" s="11">
        <f>'26)投资活动现金流量预算'!C5</f>
        <v>-75839</v>
      </c>
      <c r="D23" s="11">
        <f t="shared" si="1"/>
        <v>-378350.76</v>
      </c>
      <c r="E23" s="11">
        <f>E24-E30</f>
        <v>-848938</v>
      </c>
      <c r="F23" s="11">
        <f>F24-F30</f>
        <v>-413500</v>
      </c>
      <c r="G23" s="11">
        <f>G24-G30</f>
        <v>-266188</v>
      </c>
      <c r="H23" s="11">
        <f>H24-H30</f>
        <v>-113750</v>
      </c>
      <c r="I23" s="11">
        <f>I24-I30</f>
        <v>-55500</v>
      </c>
      <c r="J23" s="34">
        <f t="shared" si="2"/>
        <v>1.24378563426171</v>
      </c>
      <c r="K23" s="5"/>
      <c r="M23">
        <f>'[3]23)资金预算表总表'!E23+'[5]24)资金预算表总表'!E23+'[4]24)资金预算表总表'!E23</f>
        <v>-2688537.508</v>
      </c>
    </row>
    <row r="24" spans="1:13" ht="19.5" customHeight="1">
      <c r="A24" s="33" t="s">
        <v>1060</v>
      </c>
      <c r="B24" s="11">
        <f>'26)投资活动现金流量预算'!B6</f>
        <v>692400</v>
      </c>
      <c r="C24" s="11">
        <f>'26)投资活动现金流量预算'!C6</f>
        <v>0</v>
      </c>
      <c r="D24" s="11">
        <f t="shared" si="1"/>
        <v>692400</v>
      </c>
      <c r="E24" s="11">
        <f t="shared" si="3"/>
        <v>0</v>
      </c>
      <c r="F24" s="11">
        <f>F25+F26+F27+F28+F29</f>
        <v>0</v>
      </c>
      <c r="G24" s="11">
        <f>G25+G26+G27+G28+G29</f>
        <v>0</v>
      </c>
      <c r="H24" s="11">
        <f>H25+H26+H27+H28+H29</f>
        <v>0</v>
      </c>
      <c r="I24" s="11">
        <f>I25+I26+I27+I28+I29</f>
        <v>0</v>
      </c>
      <c r="J24" s="34">
        <f t="shared" si="2"/>
        <v>-1</v>
      </c>
      <c r="K24" s="5"/>
      <c r="M24">
        <f>M23-E23</f>
        <v>-1839599.508</v>
      </c>
    </row>
    <row r="25" spans="1:11" ht="19.5" customHeight="1">
      <c r="A25" s="33" t="s">
        <v>1061</v>
      </c>
      <c r="B25" s="11">
        <f>'26)投资活动现金流量预算'!B7</f>
        <v>0</v>
      </c>
      <c r="C25" s="11">
        <f>'26)投资活动现金流量预算'!C7</f>
        <v>0</v>
      </c>
      <c r="D25" s="11">
        <f t="shared" si="1"/>
        <v>0</v>
      </c>
      <c r="E25" s="11">
        <f t="shared" si="3"/>
        <v>0</v>
      </c>
      <c r="F25" s="11">
        <f>'26)投资活动现金流量预算'!F7</f>
        <v>0</v>
      </c>
      <c r="G25" s="11">
        <f>'26)投资活动现金流量预算'!G7</f>
        <v>0</v>
      </c>
      <c r="H25" s="11">
        <f>'26)投资活动现金流量预算'!H7</f>
        <v>0</v>
      </c>
      <c r="I25" s="11">
        <f>'26)投资活动现金流量预算'!I7</f>
        <v>0</v>
      </c>
      <c r="J25" s="34" t="e">
        <f t="shared" si="2"/>
        <v>#DIV/0!</v>
      </c>
      <c r="K25" s="5"/>
    </row>
    <row r="26" spans="1:11" ht="19.5" customHeight="1">
      <c r="A26" s="33" t="s">
        <v>1062</v>
      </c>
      <c r="B26" s="11">
        <f>'26)投资活动现金流量预算'!B8</f>
        <v>0</v>
      </c>
      <c r="C26" s="11">
        <f>'26)投资活动现金流量预算'!C8</f>
        <v>0</v>
      </c>
      <c r="D26" s="11">
        <f t="shared" si="1"/>
        <v>0</v>
      </c>
      <c r="E26" s="11">
        <f t="shared" si="3"/>
        <v>0</v>
      </c>
      <c r="F26" s="11">
        <f>'26)投资活动现金流量预算'!F8</f>
        <v>0</v>
      </c>
      <c r="G26" s="11">
        <f>'26)投资活动现金流量预算'!G8</f>
        <v>0</v>
      </c>
      <c r="H26" s="11">
        <f>'26)投资活动现金流量预算'!H8</f>
        <v>0</v>
      </c>
      <c r="I26" s="11">
        <f>'26)投资活动现金流量预算'!I8</f>
        <v>0</v>
      </c>
      <c r="J26" s="34" t="e">
        <f t="shared" si="2"/>
        <v>#DIV/0!</v>
      </c>
      <c r="K26" s="5"/>
    </row>
    <row r="27" spans="1:11" ht="19.5" customHeight="1">
      <c r="A27" s="33" t="s">
        <v>1063</v>
      </c>
      <c r="B27" s="11">
        <f>'26)投资活动现金流量预算'!B9</f>
        <v>0</v>
      </c>
      <c r="C27" s="11">
        <f>'26)投资活动现金流量预算'!C9</f>
        <v>0</v>
      </c>
      <c r="D27" s="11">
        <f t="shared" si="1"/>
        <v>0</v>
      </c>
      <c r="E27" s="11">
        <f t="shared" si="3"/>
        <v>0</v>
      </c>
      <c r="F27" s="11">
        <f>'26)投资活动现金流量预算'!F9</f>
        <v>0</v>
      </c>
      <c r="G27" s="11">
        <f>'26)投资活动现金流量预算'!G9</f>
        <v>0</v>
      </c>
      <c r="H27" s="11">
        <f>'26)投资活动现金流量预算'!H9</f>
        <v>0</v>
      </c>
      <c r="I27" s="11">
        <f>'26)投资活动现金流量预算'!I9</f>
        <v>0</v>
      </c>
      <c r="J27" s="34" t="e">
        <f t="shared" si="2"/>
        <v>#DIV/0!</v>
      </c>
      <c r="K27" s="5"/>
    </row>
    <row r="28" spans="1:11" ht="19.5" customHeight="1">
      <c r="A28" s="33" t="s">
        <v>1064</v>
      </c>
      <c r="B28" s="11">
        <f>'26)投资活动现金流量预算'!B10</f>
        <v>0</v>
      </c>
      <c r="C28" s="11">
        <f>'26)投资活动现金流量预算'!C10</f>
        <v>0</v>
      </c>
      <c r="D28" s="11">
        <f t="shared" si="1"/>
        <v>0</v>
      </c>
      <c r="E28" s="11">
        <f t="shared" si="3"/>
        <v>0</v>
      </c>
      <c r="F28" s="11">
        <f>'26)投资活动现金流量预算'!F10</f>
        <v>0</v>
      </c>
      <c r="G28" s="11">
        <f>'26)投资活动现金流量预算'!G10</f>
        <v>0</v>
      </c>
      <c r="H28" s="11">
        <f>'26)投资活动现金流量预算'!H10</f>
        <v>0</v>
      </c>
      <c r="I28" s="11">
        <f>'26)投资活动现金流量预算'!I10</f>
        <v>0</v>
      </c>
      <c r="J28" s="34" t="e">
        <f t="shared" si="2"/>
        <v>#DIV/0!</v>
      </c>
      <c r="K28" s="5"/>
    </row>
    <row r="29" spans="1:11" ht="19.5" customHeight="1">
      <c r="A29" s="33" t="s">
        <v>1065</v>
      </c>
      <c r="B29" s="11">
        <f>'26)投资活动现金流量预算'!B11</f>
        <v>692400</v>
      </c>
      <c r="C29" s="11">
        <f>'26)投资活动现金流量预算'!C11</f>
        <v>0</v>
      </c>
      <c r="D29" s="11">
        <f t="shared" si="1"/>
        <v>692400</v>
      </c>
      <c r="E29" s="11">
        <f t="shared" si="3"/>
        <v>0</v>
      </c>
      <c r="F29" s="11">
        <f>'26)投资活动现金流量预算'!F11</f>
        <v>0</v>
      </c>
      <c r="G29" s="11">
        <f>'26)投资活动现金流量预算'!G11</f>
        <v>0</v>
      </c>
      <c r="H29" s="11">
        <f>'26)投资活动现金流量预算'!H11</f>
        <v>0</v>
      </c>
      <c r="I29" s="11">
        <f>'26)投资活动现金流量预算'!I11</f>
        <v>0</v>
      </c>
      <c r="J29" s="34">
        <f t="shared" si="2"/>
        <v>-1</v>
      </c>
      <c r="K29" s="5"/>
    </row>
    <row r="30" spans="1:11" ht="19.5" customHeight="1">
      <c r="A30" s="33" t="s">
        <v>1066</v>
      </c>
      <c r="B30" s="11">
        <f>'26)投资活动现金流量预算'!B12</f>
        <v>994911.76</v>
      </c>
      <c r="C30" s="11">
        <f>'26)投资活动现金流量预算'!C12</f>
        <v>75839</v>
      </c>
      <c r="D30" s="11">
        <f t="shared" si="1"/>
        <v>1070750.76</v>
      </c>
      <c r="E30" s="11">
        <f t="shared" si="3"/>
        <v>848938</v>
      </c>
      <c r="F30" s="11">
        <f>F31+F32+F33+F34</f>
        <v>413500</v>
      </c>
      <c r="G30" s="11">
        <f>G31+G32+G33+G34</f>
        <v>266188</v>
      </c>
      <c r="H30" s="11">
        <f>H31+H32+H33+H34</f>
        <v>113750</v>
      </c>
      <c r="I30" s="11">
        <f>I31+I32+I33+I34</f>
        <v>55500</v>
      </c>
      <c r="J30" s="34">
        <f t="shared" si="2"/>
        <v>-0.20715629471045158</v>
      </c>
      <c r="K30" s="5"/>
    </row>
    <row r="31" spans="1:11" ht="19.5" customHeight="1">
      <c r="A31" s="33" t="s">
        <v>1067</v>
      </c>
      <c r="B31" s="11">
        <f>'26)投资活动现金流量预算'!B13</f>
        <v>994911.76</v>
      </c>
      <c r="C31" s="11">
        <f>'26)投资活动现金流量预算'!C13</f>
        <v>75839</v>
      </c>
      <c r="D31" s="11">
        <f t="shared" si="1"/>
        <v>1070750.76</v>
      </c>
      <c r="E31" s="11">
        <f t="shared" si="3"/>
        <v>848938</v>
      </c>
      <c r="F31" s="11">
        <f>'26)投资活动现金流量预算'!F13</f>
        <v>413500</v>
      </c>
      <c r="G31" s="11">
        <f>'26)投资活动现金流量预算'!G13</f>
        <v>266188</v>
      </c>
      <c r="H31" s="11">
        <f>'26)投资活动现金流量预算'!H13</f>
        <v>113750</v>
      </c>
      <c r="I31" s="11">
        <f>'26)投资活动现金流量预算'!I13</f>
        <v>55500</v>
      </c>
      <c r="J31" s="34">
        <f t="shared" si="2"/>
        <v>-0.20715629471045158</v>
      </c>
      <c r="K31" s="5"/>
    </row>
    <row r="32" spans="1:11" ht="19.5" customHeight="1">
      <c r="A32" s="33" t="s">
        <v>1068</v>
      </c>
      <c r="B32" s="11">
        <f>'26)投资活动现金流量预算'!B23</f>
        <v>0</v>
      </c>
      <c r="C32" s="11">
        <f>'26)投资活动现金流量预算'!C23</f>
        <v>0</v>
      </c>
      <c r="D32" s="11">
        <f t="shared" si="1"/>
        <v>0</v>
      </c>
      <c r="E32" s="11">
        <f t="shared" si="3"/>
        <v>0</v>
      </c>
      <c r="F32" s="11">
        <f>'26)投资活动现金流量预算'!F23</f>
        <v>0</v>
      </c>
      <c r="G32" s="11">
        <f>'26)投资活动现金流量预算'!G23</f>
        <v>0</v>
      </c>
      <c r="H32" s="11">
        <f>'26)投资活动现金流量预算'!H23</f>
        <v>0</v>
      </c>
      <c r="I32" s="11">
        <f>'26)投资活动现金流量预算'!I23</f>
        <v>0</v>
      </c>
      <c r="J32" s="34" t="e">
        <f t="shared" si="2"/>
        <v>#DIV/0!</v>
      </c>
      <c r="K32" s="5"/>
    </row>
    <row r="33" spans="1:11" ht="19.5" customHeight="1">
      <c r="A33" s="33" t="s">
        <v>1069</v>
      </c>
      <c r="B33" s="11">
        <f>'26)投资活动现金流量预算'!B24</f>
        <v>0</v>
      </c>
      <c r="C33" s="11">
        <f>'26)投资活动现金流量预算'!C24</f>
        <v>0</v>
      </c>
      <c r="D33" s="11">
        <f t="shared" si="1"/>
        <v>0</v>
      </c>
      <c r="E33" s="11">
        <f t="shared" si="3"/>
        <v>0</v>
      </c>
      <c r="F33" s="11">
        <f>'26)投资活动现金流量预算'!F24</f>
        <v>0</v>
      </c>
      <c r="G33" s="11">
        <f>'26)投资活动现金流量预算'!G24</f>
        <v>0</v>
      </c>
      <c r="H33" s="11">
        <f>'26)投资活动现金流量预算'!H24</f>
        <v>0</v>
      </c>
      <c r="I33" s="11">
        <f>'26)投资活动现金流量预算'!I24</f>
        <v>0</v>
      </c>
      <c r="J33" s="34" t="e">
        <f t="shared" si="2"/>
        <v>#DIV/0!</v>
      </c>
      <c r="K33" s="5"/>
    </row>
    <row r="34" spans="1:11" ht="19.5" customHeight="1">
      <c r="A34" s="33" t="s">
        <v>1070</v>
      </c>
      <c r="B34" s="11">
        <f>'26)投资活动现金流量预算'!B25</f>
        <v>0</v>
      </c>
      <c r="C34" s="11">
        <f>'26)投资活动现金流量预算'!C25</f>
        <v>0</v>
      </c>
      <c r="D34" s="11">
        <f t="shared" si="1"/>
        <v>0</v>
      </c>
      <c r="E34" s="11">
        <f t="shared" si="3"/>
        <v>0</v>
      </c>
      <c r="F34" s="11">
        <f>'26)投资活动现金流量预算'!E25</f>
        <v>0</v>
      </c>
      <c r="G34" s="11">
        <f>'26)投资活动现金流量预算'!F25</f>
        <v>0</v>
      </c>
      <c r="H34" s="11">
        <f>'26)投资活动现金流量预算'!G25</f>
        <v>0</v>
      </c>
      <c r="I34" s="11">
        <f>'26)投资活动现金流量预算'!H25</f>
        <v>0</v>
      </c>
      <c r="J34" s="34" t="e">
        <f t="shared" si="2"/>
        <v>#DIV/0!</v>
      </c>
      <c r="K34" s="5"/>
    </row>
    <row r="35" spans="1:13" ht="19.5" customHeight="1">
      <c r="A35" s="33" t="s">
        <v>1071</v>
      </c>
      <c r="B35" s="11">
        <f>'27)筹资活动现金流量预算'!B5</f>
        <v>-371400</v>
      </c>
      <c r="C35" s="11">
        <f>'27)筹资活动现金流量预算'!C5</f>
        <v>0</v>
      </c>
      <c r="D35" s="11">
        <f t="shared" si="1"/>
        <v>-371400</v>
      </c>
      <c r="E35" s="11">
        <f>E36-E40</f>
        <v>-134532.69056</v>
      </c>
      <c r="F35" s="11">
        <f>F36-F40</f>
        <v>-134532.69056</v>
      </c>
      <c r="G35" s="11">
        <f>G36-G40</f>
        <v>0</v>
      </c>
      <c r="H35" s="11">
        <f>H36-H40</f>
        <v>0</v>
      </c>
      <c r="I35" s="11">
        <f>I36-I40</f>
        <v>0</v>
      </c>
      <c r="J35" s="34">
        <f t="shared" si="2"/>
        <v>-0.6377687383952612</v>
      </c>
      <c r="K35" s="5"/>
      <c r="M35">
        <f>'[3]23)资金预算表总表'!E35+'[5]24)资金预算表总表'!E35+'[4]24)资金预算表总表'!E35</f>
        <v>1705066.81744</v>
      </c>
    </row>
    <row r="36" spans="1:14" ht="19.5" customHeight="1">
      <c r="A36" s="33" t="s">
        <v>1072</v>
      </c>
      <c r="B36" s="11">
        <f>'27)筹资活动现金流量预算'!B6</f>
        <v>0</v>
      </c>
      <c r="C36" s="11">
        <f>'27)筹资活动现金流量预算'!C6</f>
        <v>0</v>
      </c>
      <c r="D36" s="11">
        <f t="shared" si="1"/>
        <v>0</v>
      </c>
      <c r="E36" s="11">
        <f t="shared" si="3"/>
        <v>0</v>
      </c>
      <c r="F36" s="11">
        <f>F37+F38+F39</f>
        <v>0</v>
      </c>
      <c r="G36" s="11">
        <f>G37+G38+G39</f>
        <v>0</v>
      </c>
      <c r="H36" s="11">
        <f>H37+H38+H39</f>
        <v>0</v>
      </c>
      <c r="I36" s="11">
        <f>I37+I38+I39</f>
        <v>0</v>
      </c>
      <c r="J36" s="34" t="e">
        <f t="shared" si="2"/>
        <v>#DIV/0!</v>
      </c>
      <c r="K36" s="5"/>
      <c r="M36">
        <f>M35-E35</f>
        <v>1839599.508</v>
      </c>
      <c r="N36">
        <f>M36+M24</f>
        <v>0</v>
      </c>
    </row>
    <row r="37" spans="1:11" ht="19.5" customHeight="1">
      <c r="A37" s="33" t="s">
        <v>1073</v>
      </c>
      <c r="B37" s="11">
        <f>'27)筹资活动现金流量预算'!B7</f>
        <v>0</v>
      </c>
      <c r="C37" s="11">
        <f>'27)筹资活动现金流量预算'!C7</f>
        <v>0</v>
      </c>
      <c r="D37" s="11">
        <f t="shared" si="1"/>
        <v>0</v>
      </c>
      <c r="E37" s="11">
        <f t="shared" si="3"/>
        <v>0</v>
      </c>
      <c r="F37" s="11">
        <f>'27)筹资活动现金流量预算'!F7</f>
        <v>0</v>
      </c>
      <c r="G37" s="11">
        <f>'27)筹资活动现金流量预算'!G7</f>
        <v>0</v>
      </c>
      <c r="H37" s="11">
        <f>'27)筹资活动现金流量预算'!H7</f>
        <v>0</v>
      </c>
      <c r="I37" s="11">
        <f>'27)筹资活动现金流量预算'!I7</f>
        <v>0</v>
      </c>
      <c r="J37" s="34" t="e">
        <f t="shared" si="2"/>
        <v>#DIV/0!</v>
      </c>
      <c r="K37" s="5"/>
    </row>
    <row r="38" spans="1:11" ht="19.5" customHeight="1">
      <c r="A38" s="33" t="s">
        <v>1074</v>
      </c>
      <c r="B38" s="11">
        <f>'27)筹资活动现金流量预算'!B8</f>
        <v>0</v>
      </c>
      <c r="C38" s="11">
        <f>'27)筹资活动现金流量预算'!C8</f>
        <v>0</v>
      </c>
      <c r="D38" s="11">
        <f t="shared" si="1"/>
        <v>0</v>
      </c>
      <c r="E38" s="11">
        <f t="shared" si="3"/>
        <v>0</v>
      </c>
      <c r="F38" s="11">
        <v>0</v>
      </c>
      <c r="G38" s="11">
        <v>0</v>
      </c>
      <c r="H38" s="11">
        <v>0</v>
      </c>
      <c r="I38" s="11">
        <v>0</v>
      </c>
      <c r="J38" s="34" t="e">
        <f t="shared" si="2"/>
        <v>#DIV/0!</v>
      </c>
      <c r="K38" s="5"/>
    </row>
    <row r="39" spans="1:11" ht="19.5" customHeight="1">
      <c r="A39" s="33" t="s">
        <v>1075</v>
      </c>
      <c r="B39" s="11">
        <f>'27)筹资活动现金流量预算'!B9</f>
        <v>0</v>
      </c>
      <c r="C39" s="11">
        <f>'27)筹资活动现金流量预算'!C9</f>
        <v>0</v>
      </c>
      <c r="D39" s="11">
        <f t="shared" si="1"/>
        <v>0</v>
      </c>
      <c r="E39" s="11">
        <f t="shared" si="3"/>
        <v>0</v>
      </c>
      <c r="F39" s="11">
        <v>0</v>
      </c>
      <c r="G39" s="11">
        <v>0</v>
      </c>
      <c r="H39" s="11">
        <v>0</v>
      </c>
      <c r="I39" s="11">
        <v>0</v>
      </c>
      <c r="J39" s="34" t="e">
        <f t="shared" si="2"/>
        <v>#DIV/0!</v>
      </c>
      <c r="K39" s="5"/>
    </row>
    <row r="40" spans="1:11" ht="19.5" customHeight="1">
      <c r="A40" s="33" t="s">
        <v>1076</v>
      </c>
      <c r="B40" s="11">
        <f>'27)筹资活动现金流量预算'!B10</f>
        <v>371400</v>
      </c>
      <c r="C40" s="11">
        <f>'27)筹资活动现金流量预算'!C10</f>
        <v>0</v>
      </c>
      <c r="D40" s="11">
        <f t="shared" si="1"/>
        <v>371400</v>
      </c>
      <c r="E40" s="11">
        <f t="shared" si="3"/>
        <v>134532.69056</v>
      </c>
      <c r="F40" s="11">
        <f>F41+F42+F43</f>
        <v>134532.69056</v>
      </c>
      <c r="G40" s="11">
        <f>G41+G42+G43</f>
        <v>0</v>
      </c>
      <c r="H40" s="11">
        <f>H41+H42+H43</f>
        <v>0</v>
      </c>
      <c r="I40" s="11">
        <f>I41+I42+I43</f>
        <v>0</v>
      </c>
      <c r="J40" s="34">
        <f t="shared" si="2"/>
        <v>-0.6377687383952612</v>
      </c>
      <c r="K40" s="5"/>
    </row>
    <row r="41" spans="1:11" ht="19.5" customHeight="1">
      <c r="A41" s="33" t="s">
        <v>1077</v>
      </c>
      <c r="B41" s="11">
        <f>'27)筹资活动现金流量预算'!B11</f>
        <v>0</v>
      </c>
      <c r="C41" s="11">
        <f>'27)筹资活动现金流量预算'!C11</f>
        <v>0</v>
      </c>
      <c r="D41" s="11">
        <f t="shared" si="1"/>
        <v>0</v>
      </c>
      <c r="E41" s="11">
        <f t="shared" si="3"/>
        <v>0</v>
      </c>
      <c r="F41" s="11">
        <v>0</v>
      </c>
      <c r="G41" s="11">
        <v>0</v>
      </c>
      <c r="H41" s="11">
        <v>0</v>
      </c>
      <c r="I41" s="11">
        <v>0</v>
      </c>
      <c r="J41" s="34" t="e">
        <f t="shared" si="2"/>
        <v>#DIV/0!</v>
      </c>
      <c r="K41" s="5"/>
    </row>
    <row r="42" spans="1:11" ht="19.5" customHeight="1">
      <c r="A42" s="33" t="s">
        <v>1078</v>
      </c>
      <c r="B42" s="11">
        <f>'27)筹资活动现金流量预算'!B12</f>
        <v>371400</v>
      </c>
      <c r="C42" s="11">
        <f>'27)筹资活动现金流量预算'!C12</f>
        <v>0</v>
      </c>
      <c r="D42" s="11">
        <f t="shared" si="1"/>
        <v>371400</v>
      </c>
      <c r="E42" s="11">
        <f t="shared" si="3"/>
        <v>134532.69056</v>
      </c>
      <c r="F42" s="11">
        <f>'27)筹资活动现金流量预算'!F10</f>
        <v>134532.69056</v>
      </c>
      <c r="G42" s="11">
        <f>'27)筹资活动现金流量预算'!G10</f>
        <v>0</v>
      </c>
      <c r="H42" s="11">
        <f>'27)筹资活动现金流量预算'!H10</f>
        <v>0</v>
      </c>
      <c r="I42" s="11">
        <f>'27)筹资活动现金流量预算'!I10</f>
        <v>0</v>
      </c>
      <c r="J42" s="34">
        <f t="shared" si="2"/>
        <v>-0.6377687383952612</v>
      </c>
      <c r="K42" s="5"/>
    </row>
    <row r="43" spans="1:11" ht="19.5" customHeight="1">
      <c r="A43" s="33" t="s">
        <v>1079</v>
      </c>
      <c r="B43" s="11">
        <f>'27)筹资活动现金流量预算'!B13</f>
        <v>0</v>
      </c>
      <c r="C43" s="11">
        <f>'27)筹资活动现金流量预算'!C13</f>
        <v>0</v>
      </c>
      <c r="D43" s="11">
        <f t="shared" si="1"/>
        <v>0</v>
      </c>
      <c r="E43" s="11">
        <f t="shared" si="3"/>
        <v>0</v>
      </c>
      <c r="F43" s="11">
        <v>0</v>
      </c>
      <c r="G43" s="11">
        <v>0</v>
      </c>
      <c r="H43" s="11">
        <v>0</v>
      </c>
      <c r="I43" s="11">
        <v>0</v>
      </c>
      <c r="J43" s="34" t="e">
        <f t="shared" si="2"/>
        <v>#DIV/0!</v>
      </c>
      <c r="K43" s="5"/>
    </row>
    <row r="44" spans="1:11" ht="19.5" customHeight="1">
      <c r="A44" s="33" t="s">
        <v>1080</v>
      </c>
      <c r="B44" s="12"/>
      <c r="C44" s="12"/>
      <c r="D44" s="12"/>
      <c r="E44" s="12"/>
      <c r="F44" s="12"/>
      <c r="G44" s="12"/>
      <c r="H44" s="12"/>
      <c r="I44" s="12"/>
      <c r="J44" s="34" t="e">
        <f t="shared" si="2"/>
        <v>#DIV/0!</v>
      </c>
      <c r="K44" s="5"/>
    </row>
    <row r="45" spans="1:11" ht="19.5" customHeight="1">
      <c r="A45" s="33" t="s">
        <v>1081</v>
      </c>
      <c r="B45" s="11">
        <f aca="true" t="shared" si="4" ref="B45:I45">B13+B23+B35</f>
        <v>2191805.839999998</v>
      </c>
      <c r="C45" s="11">
        <f t="shared" si="4"/>
        <v>387070.72280000057</v>
      </c>
      <c r="D45" s="11">
        <f t="shared" si="4"/>
        <v>2578876.5627999986</v>
      </c>
      <c r="E45" s="11">
        <f t="shared" si="4"/>
        <v>3162693.3888511267</v>
      </c>
      <c r="F45" s="11">
        <f t="shared" si="4"/>
        <v>-430429.04296990484</v>
      </c>
      <c r="G45" s="11">
        <f t="shared" si="4"/>
        <v>101825.00927882642</v>
      </c>
      <c r="H45" s="11">
        <f t="shared" si="4"/>
        <v>848730.9232296478</v>
      </c>
      <c r="I45" s="11">
        <f t="shared" si="4"/>
        <v>2642566.499312559</v>
      </c>
      <c r="J45" s="34">
        <f t="shared" si="2"/>
        <v>0.226384168390461</v>
      </c>
      <c r="K45" s="5"/>
    </row>
    <row r="46" spans="1:11" ht="19.5" customHeight="1">
      <c r="A46" s="33" t="s">
        <v>1082</v>
      </c>
      <c r="B46" s="11">
        <f>B5+B45</f>
        <v>53656160.74999999</v>
      </c>
      <c r="C46" s="11">
        <f aca="true" t="shared" si="5" ref="B46:I46">C5+C45</f>
        <v>54043231.472799994</v>
      </c>
      <c r="D46" s="11">
        <f t="shared" si="5"/>
        <v>54043231.472799994</v>
      </c>
      <c r="E46" s="11">
        <f t="shared" si="5"/>
        <v>57205924.86165112</v>
      </c>
      <c r="F46" s="11">
        <f t="shared" si="5"/>
        <v>53612802.42983009</v>
      </c>
      <c r="G46" s="11">
        <f t="shared" si="5"/>
        <v>53714627.439108916</v>
      </c>
      <c r="H46" s="11">
        <f t="shared" si="5"/>
        <v>54563358.362338565</v>
      </c>
      <c r="I46" s="11">
        <f t="shared" si="5"/>
        <v>57205924.86165112</v>
      </c>
      <c r="J46" s="34">
        <f>(I46-D46)/D46</f>
        <v>0.058521544745948714</v>
      </c>
      <c r="K46" s="16">
        <f>I46/D46</f>
        <v>1.0585215447459486</v>
      </c>
    </row>
    <row r="47" spans="1:11" ht="19.5" customHeight="1">
      <c r="A47" s="2"/>
      <c r="B47" s="16" t="s">
        <v>497</v>
      </c>
      <c r="C47" s="4" t="s">
        <v>114</v>
      </c>
      <c r="D47" s="5"/>
      <c r="E47" s="5"/>
      <c r="F47" s="5"/>
      <c r="G47" s="16" t="s">
        <v>927</v>
      </c>
      <c r="H47" s="5" t="s">
        <v>111</v>
      </c>
      <c r="I47" s="5"/>
      <c r="J47" s="5"/>
      <c r="K47" s="5"/>
    </row>
    <row r="49" spans="6:9" ht="12.75" hidden="1">
      <c r="F49">
        <f>F46-'20)资产负债预算表（一）'!F6</f>
        <v>0</v>
      </c>
      <c r="G49">
        <f>G46-'20)资产负债预算表（一）'!G6</f>
        <v>0</v>
      </c>
      <c r="H49">
        <f>H46-'20)资产负债预算表（一）'!H6</f>
        <v>0</v>
      </c>
      <c r="I49">
        <f>I46-'20)资产负债预算表（一）'!I6</f>
        <v>0</v>
      </c>
    </row>
    <row r="51" ht="12.75">
      <c r="D51">
        <f>'[3]23)资金预算表总表'!$D$46+'[4]24)资金预算表总表'!$D$46+'[5]24)资金预算表总表'!$D$46</f>
        <v>54043231.472799994</v>
      </c>
    </row>
  </sheetData>
  <sheetProtection/>
  <mergeCells count="7">
    <mergeCell ref="A1:K1"/>
    <mergeCell ref="B2:D2"/>
    <mergeCell ref="B3:D3"/>
    <mergeCell ref="E3:I3"/>
    <mergeCell ref="A3:A4"/>
    <mergeCell ref="J3:J4"/>
    <mergeCell ref="K3:K4"/>
  </mergeCells>
  <printOptions/>
  <pageMargins left="1.06" right="0.42" top="0.35" bottom="0.28" header="0.23999999999999996" footer="0.2"/>
  <pageSetup fitToHeight="1" fitToWidth="1" horizontalDpi="300" verticalDpi="300" orientation="landscape" paperSize="9" scale="61"/>
</worksheet>
</file>

<file path=xl/worksheets/sheet41.xml><?xml version="1.0" encoding="utf-8"?>
<worksheet xmlns="http://schemas.openxmlformats.org/spreadsheetml/2006/main" xmlns:r="http://schemas.openxmlformats.org/officeDocument/2006/relationships">
  <sheetPr>
    <pageSetUpPr fitToPage="1"/>
  </sheetPr>
  <dimension ref="A1:K54"/>
  <sheetViews>
    <sheetView workbookViewId="0" topLeftCell="A16">
      <selection activeCell="E24" sqref="E24"/>
    </sheetView>
  </sheetViews>
  <sheetFormatPr defaultColWidth="9.140625" defaultRowHeight="12.75"/>
  <cols>
    <col min="1" max="1" width="39.421875" style="0" customWidth="1"/>
    <col min="2" max="7" width="16.7109375" style="0" customWidth="1"/>
    <col min="8" max="9" width="18.140625" style="0" customWidth="1"/>
    <col min="10" max="11" width="14.00390625" style="0" customWidth="1"/>
  </cols>
  <sheetData>
    <row r="1" spans="1:11" ht="33.75" customHeight="1">
      <c r="A1" s="23" t="s">
        <v>1083</v>
      </c>
      <c r="B1" s="23" t="s">
        <v>1083</v>
      </c>
      <c r="C1" s="23" t="s">
        <v>1083</v>
      </c>
      <c r="D1" s="23" t="s">
        <v>1083</v>
      </c>
      <c r="E1" s="23" t="s">
        <v>1083</v>
      </c>
      <c r="F1" s="23" t="s">
        <v>1083</v>
      </c>
      <c r="G1" s="23" t="s">
        <v>1083</v>
      </c>
      <c r="H1" s="23" t="s">
        <v>1083</v>
      </c>
      <c r="I1" s="23" t="s">
        <v>1083</v>
      </c>
      <c r="J1" s="23" t="s">
        <v>1083</v>
      </c>
      <c r="K1" s="23" t="s">
        <v>1083</v>
      </c>
    </row>
    <row r="2" spans="1:11" ht="18" customHeight="1">
      <c r="A2" s="5" t="s">
        <v>287</v>
      </c>
      <c r="B2" s="3"/>
      <c r="C2" s="3"/>
      <c r="D2" s="3"/>
      <c r="E2" s="24" t="s">
        <v>288</v>
      </c>
      <c r="F2" s="5"/>
      <c r="G2" s="5"/>
      <c r="H2" s="5"/>
      <c r="I2" s="5"/>
      <c r="J2" s="16" t="s">
        <v>1</v>
      </c>
      <c r="K2" s="5"/>
    </row>
    <row r="3" spans="1:11" ht="18" customHeight="1">
      <c r="A3" s="18" t="s">
        <v>290</v>
      </c>
      <c r="B3" s="7" t="s">
        <v>366</v>
      </c>
      <c r="C3" s="7"/>
      <c r="D3" s="8"/>
      <c r="E3" s="9" t="s">
        <v>292</v>
      </c>
      <c r="F3" s="9" t="s">
        <v>292</v>
      </c>
      <c r="G3" s="9" t="s">
        <v>292</v>
      </c>
      <c r="H3" s="9" t="s">
        <v>292</v>
      </c>
      <c r="I3" s="9" t="s">
        <v>292</v>
      </c>
      <c r="J3" s="9" t="s">
        <v>293</v>
      </c>
      <c r="K3" s="18" t="s">
        <v>33</v>
      </c>
    </row>
    <row r="4" spans="1:11" ht="18" customHeight="1">
      <c r="A4" s="18" t="s">
        <v>290</v>
      </c>
      <c r="B4" s="9" t="s">
        <v>295</v>
      </c>
      <c r="C4" s="9" t="s">
        <v>296</v>
      </c>
      <c r="D4" s="9" t="s">
        <v>464</v>
      </c>
      <c r="E4" s="9" t="s">
        <v>314</v>
      </c>
      <c r="F4" s="9" t="s">
        <v>324</v>
      </c>
      <c r="G4" s="9" t="s">
        <v>331</v>
      </c>
      <c r="H4" s="9" t="s">
        <v>334</v>
      </c>
      <c r="I4" s="9" t="s">
        <v>336</v>
      </c>
      <c r="J4" s="9" t="s">
        <v>293</v>
      </c>
      <c r="K4" s="18" t="s">
        <v>33</v>
      </c>
    </row>
    <row r="5" spans="1:11" ht="18" customHeight="1">
      <c r="A5" s="25" t="s">
        <v>1084</v>
      </c>
      <c r="B5" s="14">
        <f>B6-B15</f>
        <v>2865717.5999999978</v>
      </c>
      <c r="C5" s="14">
        <f aca="true" t="shared" si="0" ref="C5:I5">C6-C15</f>
        <v>462909.72280000057</v>
      </c>
      <c r="D5" s="14">
        <f t="shared" si="0"/>
        <v>3328627.322800003</v>
      </c>
      <c r="E5" s="14">
        <f t="shared" si="0"/>
        <v>4146164.079411123</v>
      </c>
      <c r="F5" s="14">
        <f t="shared" si="0"/>
        <v>117603.64759009518</v>
      </c>
      <c r="G5" s="14">
        <f t="shared" si="0"/>
        <v>368013.0092788264</v>
      </c>
      <c r="H5" s="14">
        <f t="shared" si="0"/>
        <v>962480.9232296478</v>
      </c>
      <c r="I5" s="14">
        <f t="shared" si="0"/>
        <v>2698066.499312559</v>
      </c>
      <c r="J5" s="31">
        <f>E5/D5</f>
        <v>1.245607776818769</v>
      </c>
      <c r="K5" s="5"/>
    </row>
    <row r="6" spans="1:11" ht="18" customHeight="1">
      <c r="A6" s="25" t="s">
        <v>1085</v>
      </c>
      <c r="B6" s="11">
        <f>SUM(B7:B9)</f>
        <v>23804953.49</v>
      </c>
      <c r="C6" s="11">
        <f>SUM(C7:C9)</f>
        <v>4470957.9</v>
      </c>
      <c r="D6" s="14">
        <f aca="true" t="shared" si="1" ref="C6:I6">SUM(D7:D9)</f>
        <v>28275911.39</v>
      </c>
      <c r="E6" s="14">
        <f t="shared" si="1"/>
        <v>32258401.76698113</v>
      </c>
      <c r="F6" s="11">
        <f t="shared" si="1"/>
        <v>9462806.477169812</v>
      </c>
      <c r="G6" s="11">
        <f t="shared" si="1"/>
        <v>6418338.692264151</v>
      </c>
      <c r="H6" s="11">
        <f t="shared" si="1"/>
        <v>6809805.903773584</v>
      </c>
      <c r="I6" s="11">
        <f t="shared" si="1"/>
        <v>9567450.693773586</v>
      </c>
      <c r="J6" s="19">
        <f aca="true" t="shared" si="2" ref="J6:J37">E6/D6</f>
        <v>1.1408439261975325</v>
      </c>
      <c r="K6" s="5"/>
    </row>
    <row r="7" spans="1:11" ht="18" customHeight="1">
      <c r="A7" s="25" t="s">
        <v>1086</v>
      </c>
      <c r="B7" s="11">
        <f>'[3]24)经营活动现金流量预算'!B7+'[4]25)经营活动现金流量预算'!B7+'[5]25)经营活动现金流量预算'!B7</f>
        <v>19454419.63</v>
      </c>
      <c r="C7" s="21">
        <f>'[3]24)经营活动现金流量预算'!C7+'[4]25)经营活动现金流量预算'!C7+'[5]25)经营活动现金流量预算'!C7</f>
        <v>3921866.0300000003</v>
      </c>
      <c r="D7" s="14">
        <f>B7+C7</f>
        <v>23376285.66</v>
      </c>
      <c r="E7" s="14">
        <f>SUM(F7:I7)</f>
        <v>30753884.60698113</v>
      </c>
      <c r="F7" s="26">
        <f>'[3]24)经营活动现金流量预算'!F7+'[4]25)经营活动现金流量预算'!F7+'[5]25)经营活动现金流量预算'!F7</f>
        <v>9079641.93716981</v>
      </c>
      <c r="G7" s="26">
        <f>'[3]24)经营活动现金流量预算'!G7+'[4]25)经营活动现金流量预算'!G7+'[5]25)经营活动现金流量预算'!G7</f>
        <v>6041421.152264151</v>
      </c>
      <c r="H7" s="26">
        <f>'[3]24)经营活动现金流量预算'!H7+'[4]25)经营活动现金流量预算'!H7+'[5]25)经营活动现金流量预算'!H7</f>
        <v>6438488.363773584</v>
      </c>
      <c r="I7" s="26">
        <f>'[3]24)经营活动现金流量预算'!I7+'[4]25)经营活动现金流量预算'!I7+'[5]25)经营活动现金流量预算'!I7</f>
        <v>9194333.153773585</v>
      </c>
      <c r="J7" s="19">
        <f t="shared" si="2"/>
        <v>1.3156018477137796</v>
      </c>
      <c r="K7" s="5"/>
    </row>
    <row r="8" spans="1:11" ht="18" customHeight="1">
      <c r="A8" s="25" t="s">
        <v>1087</v>
      </c>
      <c r="B8" s="11">
        <f>'[3]24)经营活动现金流量预算'!B8+'[4]25)经营活动现金流量预算'!B8+'[5]25)经营活动现金流量预算'!B8</f>
        <v>75869.45</v>
      </c>
      <c r="C8" s="21">
        <f>'[3]24)经营活动现金流量预算'!C8+'[4]25)经营活动现金流量预算'!C8+'[5]25)经营活动现金流量预算'!C8</f>
        <v>0</v>
      </c>
      <c r="D8" s="14">
        <f>B8+C8</f>
        <v>75869.45</v>
      </c>
      <c r="E8" s="14">
        <f>SUM(F8:I8)</f>
        <v>0</v>
      </c>
      <c r="F8" s="26">
        <f>'[3]24)经营活动现金流量预算'!F8+'[4]25)经营活动现金流量预算'!F8+'[5]25)经营活动现金流量预算'!F8</f>
        <v>0</v>
      </c>
      <c r="G8" s="26">
        <f>'[3]24)经营活动现金流量预算'!G8+'[4]25)经营活动现金流量预算'!G8+'[5]25)经营活动现金流量预算'!G8</f>
        <v>0</v>
      </c>
      <c r="H8" s="26">
        <f>'[3]24)经营活动现金流量预算'!H8+'[4]25)经营活动现金流量预算'!H8+'[5]25)经营活动现金流量预算'!H8</f>
        <v>0</v>
      </c>
      <c r="I8" s="26">
        <f>'[3]24)经营活动现金流量预算'!I8+'[4]25)经营活动现金流量预算'!I8+'[5]25)经营活动现金流量预算'!I8</f>
        <v>0</v>
      </c>
      <c r="J8" s="19">
        <f t="shared" si="2"/>
        <v>0</v>
      </c>
      <c r="K8" s="5"/>
    </row>
    <row r="9" spans="1:11" ht="18" customHeight="1">
      <c r="A9" s="25" t="s">
        <v>1088</v>
      </c>
      <c r="B9" s="14">
        <f>SUM(B10:B14)</f>
        <v>4274664.41</v>
      </c>
      <c r="C9" s="14">
        <f aca="true" t="shared" si="3" ref="C9:I9">SUM(C10:C14)</f>
        <v>549091.87</v>
      </c>
      <c r="D9" s="14">
        <f t="shared" si="3"/>
        <v>4823756.28</v>
      </c>
      <c r="E9" s="14">
        <f t="shared" si="3"/>
        <v>1504517.1600000001</v>
      </c>
      <c r="F9" s="14">
        <f t="shared" si="3"/>
        <v>383164.54000000004</v>
      </c>
      <c r="G9" s="14">
        <f t="shared" si="3"/>
        <v>376917.54000000004</v>
      </c>
      <c r="H9" s="14">
        <f t="shared" si="3"/>
        <v>371317.54000000004</v>
      </c>
      <c r="I9" s="14">
        <f t="shared" si="3"/>
        <v>373117.54000000004</v>
      </c>
      <c r="J9" s="31">
        <f t="shared" si="2"/>
        <v>0.31189742446938057</v>
      </c>
      <c r="K9" s="5"/>
    </row>
    <row r="10" spans="1:11" ht="18" customHeight="1">
      <c r="A10" s="25" t="s">
        <v>1089</v>
      </c>
      <c r="B10" s="11">
        <f>'[3]24)经营活动现金流量预算'!B10+'[4]25)经营活动现金流量预算'!B10+'[5]25)经营活动现金流量预算'!B10</f>
        <v>4274664.41</v>
      </c>
      <c r="C10" s="21">
        <f>'[3]24)经营活动现金流量预算'!C10+'[4]25)经营活动现金流量预算'!C10+'[5]25)经营活动现金流量预算'!C10</f>
        <v>549091.87</v>
      </c>
      <c r="D10" s="14">
        <f>B10+C10</f>
        <v>4823756.28</v>
      </c>
      <c r="E10" s="14">
        <f aca="true" t="shared" si="4" ref="E10:E37">SUM(F10:I10)</f>
        <v>1504517.1600000001</v>
      </c>
      <c r="F10" s="26">
        <f>'[3]24)经营活动现金流量预算'!F10+'[4]25)经营活动现金流量预算'!F10+'[5]25)经营活动现金流量预算'!F10</f>
        <v>383164.54000000004</v>
      </c>
      <c r="G10" s="26">
        <f>'[3]24)经营活动现金流量预算'!G10+'[4]25)经营活动现金流量预算'!G10+'[5]25)经营活动现金流量预算'!G10</f>
        <v>376917.54000000004</v>
      </c>
      <c r="H10" s="26">
        <f>'[3]24)经营活动现金流量预算'!H10+'[4]25)经营活动现金流量预算'!H10+'[5]25)经营活动现金流量预算'!H10</f>
        <v>371317.54000000004</v>
      </c>
      <c r="I10" s="26">
        <f>'[3]24)经营活动现金流量预算'!I10+'[4]25)经营活动现金流量预算'!I10+'[5]25)经营活动现金流量预算'!I10</f>
        <v>373117.54000000004</v>
      </c>
      <c r="J10" s="19">
        <f t="shared" si="2"/>
        <v>0.31189742446938057</v>
      </c>
      <c r="K10" s="5"/>
    </row>
    <row r="11" spans="1:11" ht="18" customHeight="1">
      <c r="A11" s="25" t="s">
        <v>1090</v>
      </c>
      <c r="B11" s="11">
        <f>'[3]24)经营活动现金流量预算'!B11+'[4]25)经营活动现金流量预算'!B11+'[5]25)经营活动现金流量预算'!B11</f>
        <v>0</v>
      </c>
      <c r="C11" s="21">
        <f>'[3]24)经营活动现金流量预算'!C11+'[4]25)经营活动现金流量预算'!C11+'[5]25)经营活动现金流量预算'!C11</f>
        <v>0</v>
      </c>
      <c r="D11" s="14">
        <f>B11+C11</f>
        <v>0</v>
      </c>
      <c r="E11" s="14">
        <f t="shared" si="4"/>
        <v>0</v>
      </c>
      <c r="F11" s="26">
        <f>'[3]24)经营活动现金流量预算'!F11+'[4]25)经营活动现金流量预算'!F11+'[5]25)经营活动现金流量预算'!F11</f>
        <v>0</v>
      </c>
      <c r="G11" s="26">
        <f>'[3]24)经营活动现金流量预算'!G11+'[4]25)经营活动现金流量预算'!G11+'[5]25)经营活动现金流量预算'!G11</f>
        <v>0</v>
      </c>
      <c r="H11" s="26">
        <f>'[3]24)经营活动现金流量预算'!H11+'[4]25)经营活动现金流量预算'!H11+'[5]25)经营活动现金流量预算'!H11</f>
        <v>0</v>
      </c>
      <c r="I11" s="26">
        <f>'[3]24)经营活动现金流量预算'!I11+'[4]25)经营活动现金流量预算'!I11+'[5]25)经营活动现金流量预算'!I11</f>
        <v>0</v>
      </c>
      <c r="J11" s="19" t="e">
        <f t="shared" si="2"/>
        <v>#DIV/0!</v>
      </c>
      <c r="K11" s="5"/>
    </row>
    <row r="12" spans="1:11" ht="18" customHeight="1">
      <c r="A12" s="25" t="s">
        <v>1091</v>
      </c>
      <c r="B12" s="11">
        <f>'[3]24)经营活动现金流量预算'!B12+'[4]25)经营活动现金流量预算'!B12+'[5]25)经营活动现金流量预算'!B12</f>
        <v>0</v>
      </c>
      <c r="C12" s="21">
        <f>'[3]24)经营活动现金流量预算'!C12+'[4]25)经营活动现金流量预算'!C12+'[5]25)经营活动现金流量预算'!C12</f>
        <v>0</v>
      </c>
      <c r="D12" s="14">
        <f>B12+C12</f>
        <v>0</v>
      </c>
      <c r="E12" s="14">
        <f t="shared" si="4"/>
        <v>0</v>
      </c>
      <c r="F12" s="26">
        <f>'[3]24)经营活动现金流量预算'!F12+'[4]25)经营活动现金流量预算'!F12+'[5]25)经营活动现金流量预算'!F12</f>
        <v>0</v>
      </c>
      <c r="G12" s="26">
        <f>'[3]24)经营活动现金流量预算'!G12+'[4]25)经营活动现金流量预算'!G12+'[5]25)经营活动现金流量预算'!G12</f>
        <v>0</v>
      </c>
      <c r="H12" s="26">
        <f>'[3]24)经营活动现金流量预算'!H12+'[4]25)经营活动现金流量预算'!H12+'[5]25)经营活动现金流量预算'!H12</f>
        <v>0</v>
      </c>
      <c r="I12" s="26">
        <f>'[3]24)经营活动现金流量预算'!I12+'[4]25)经营活动现金流量预算'!I12+'[5]25)经营活动现金流量预算'!I12</f>
        <v>0</v>
      </c>
      <c r="J12" s="19" t="e">
        <f t="shared" si="2"/>
        <v>#DIV/0!</v>
      </c>
      <c r="K12" s="5"/>
    </row>
    <row r="13" spans="1:11" ht="18" customHeight="1">
      <c r="A13" s="25" t="s">
        <v>1092</v>
      </c>
      <c r="B13" s="11">
        <f>'[3]24)经营活动现金流量预算'!B13+'[4]25)经营活动现金流量预算'!B13+'[5]25)经营活动现金流量预算'!B13</f>
        <v>0</v>
      </c>
      <c r="C13" s="21">
        <f>'[3]24)经营活动现金流量预算'!C13+'[4]25)经营活动现金流量预算'!C13+'[5]25)经营活动现金流量预算'!C13</f>
        <v>0</v>
      </c>
      <c r="D13" s="14">
        <f>B13+C13</f>
        <v>0</v>
      </c>
      <c r="E13" s="14">
        <f t="shared" si="4"/>
        <v>0</v>
      </c>
      <c r="F13" s="26">
        <v>0</v>
      </c>
      <c r="G13" s="26">
        <f>'[3]24)经营活动现金流量预算'!G13+'[4]25)经营活动现金流量预算'!G13+'[5]25)经营活动现金流量预算'!G13</f>
        <v>0</v>
      </c>
      <c r="H13" s="26">
        <f>'[3]24)经营活动现金流量预算'!H13+'[4]25)经营活动现金流量预算'!H13+'[5]25)经营活动现金流量预算'!H13</f>
        <v>0</v>
      </c>
      <c r="I13" s="26">
        <f>'[3]24)经营活动现金流量预算'!I13+'[4]25)经营活动现金流量预算'!I13+'[5]25)经营活动现金流量预算'!I13</f>
        <v>0</v>
      </c>
      <c r="J13" s="19" t="e">
        <f t="shared" si="2"/>
        <v>#DIV/0!</v>
      </c>
      <c r="K13" s="5"/>
    </row>
    <row r="14" spans="1:11" ht="18" customHeight="1">
      <c r="A14" s="25" t="s">
        <v>1093</v>
      </c>
      <c r="B14" s="11">
        <f>'[3]24)经营活动现金流量预算'!B14+'[4]25)经营活动现金流量预算'!B14+'[5]25)经营活动现金流量预算'!B14</f>
        <v>0</v>
      </c>
      <c r="C14" s="21">
        <f>'[3]24)经营活动现金流量预算'!C14+'[4]25)经营活动现金流量预算'!C14+'[5]25)经营活动现金流量预算'!C14</f>
        <v>0</v>
      </c>
      <c r="D14" s="14">
        <f>B14+C14</f>
        <v>0</v>
      </c>
      <c r="E14" s="14">
        <f t="shared" si="4"/>
        <v>0</v>
      </c>
      <c r="F14" s="26">
        <f>'[3]24)经营活动现金流量预算'!F14+'[4]25)经营活动现金流量预算'!F14+'[5]25)经营活动现金流量预算'!F14</f>
        <v>0</v>
      </c>
      <c r="G14" s="26">
        <f>'[3]24)经营活动现金流量预算'!G14+'[4]25)经营活动现金流量预算'!G14+'[5]25)经营活动现金流量预算'!G14</f>
        <v>0</v>
      </c>
      <c r="H14" s="26">
        <f>'[3]24)经营活动现金流量预算'!H14+'[4]25)经营活动现金流量预算'!H14+'[5]25)经营活动现金流量预算'!H14</f>
        <v>0</v>
      </c>
      <c r="I14" s="26">
        <f>'[3]24)经营活动现金流量预算'!I14+'[4]25)经营活动现金流量预算'!I14+'[5]25)经营活动现金流量预算'!I14</f>
        <v>0</v>
      </c>
      <c r="J14" s="19" t="e">
        <f t="shared" si="2"/>
        <v>#DIV/0!</v>
      </c>
      <c r="K14" s="5"/>
    </row>
    <row r="15" spans="1:11" ht="18" customHeight="1">
      <c r="A15" s="25" t="s">
        <v>1094</v>
      </c>
      <c r="B15" s="14">
        <f>B16+B17+B24+B30</f>
        <v>20939235.89</v>
      </c>
      <c r="C15" s="14">
        <f>C16+C17+C24+C30</f>
        <v>4008048.1772</v>
      </c>
      <c r="D15" s="14">
        <f aca="true" t="shared" si="5" ref="D15:I15">D16+D17+D24+D30</f>
        <v>24947284.067199998</v>
      </c>
      <c r="E15" s="14">
        <f t="shared" si="5"/>
        <v>28112237.687570006</v>
      </c>
      <c r="F15" s="14">
        <f t="shared" si="5"/>
        <v>9345202.829579717</v>
      </c>
      <c r="G15" s="14">
        <f t="shared" si="5"/>
        <v>6050325.682985324</v>
      </c>
      <c r="H15" s="14">
        <f t="shared" si="5"/>
        <v>5847324.980543937</v>
      </c>
      <c r="I15" s="14">
        <f t="shared" si="5"/>
        <v>6869384.194461027</v>
      </c>
      <c r="J15" s="31">
        <f t="shared" si="2"/>
        <v>1.126865658475874</v>
      </c>
      <c r="K15" s="5"/>
    </row>
    <row r="16" spans="1:11" ht="18" customHeight="1">
      <c r="A16" s="25" t="s">
        <v>1095</v>
      </c>
      <c r="B16" s="11">
        <f>'[3]24)经营活动现金流量预算'!B16+'[4]25)经营活动现金流量预算'!B16+'[5]25)经营活动现金流量预算'!B16</f>
        <v>707194.78</v>
      </c>
      <c r="C16" s="21">
        <f>'[3]24)经营活动现金流量预算'!C16+'[4]25)经营活动现金流量预算'!C16+'[5]25)经营活动现金流量预算'!C16</f>
        <v>250000</v>
      </c>
      <c r="D16" s="14">
        <f>B16+C16</f>
        <v>957194.78</v>
      </c>
      <c r="E16" s="14">
        <f t="shared" si="4"/>
        <v>2248451.6</v>
      </c>
      <c r="F16" s="26">
        <f>'[3]24)经营活动现金流量预算'!F16+'[4]25)经营活动现金流量预算'!F16+'[5]25)经营活动现金流量预算'!F16</f>
        <v>555223</v>
      </c>
      <c r="G16" s="26">
        <f>'[3]24)经营活动现金流量预算'!G16+'[4]25)经营活动现金流量预算'!G16+'[5]25)经营活动现金流量预算'!G16</f>
        <v>355640</v>
      </c>
      <c r="H16" s="26">
        <f>'[3]24)经营活动现金流量预算'!H16+'[4]25)经营活动现金流量预算'!H16+'[5]25)经营活动现金流量预算'!H16</f>
        <v>492140</v>
      </c>
      <c r="I16" s="26">
        <f>'[3]24)经营活动现金流量预算'!I16+'[4]25)经营活动现金流量预算'!I16+'[5]25)经营活动现金流量预算'!I16</f>
        <v>845448.6</v>
      </c>
      <c r="J16" s="19">
        <f t="shared" si="2"/>
        <v>2.349001109262213</v>
      </c>
      <c r="K16" s="5"/>
    </row>
    <row r="17" spans="1:11" ht="18" customHeight="1">
      <c r="A17" s="25" t="s">
        <v>1096</v>
      </c>
      <c r="B17" s="14">
        <f>SUM(B18:B23)</f>
        <v>12498139.27</v>
      </c>
      <c r="C17" s="27">
        <f>SUM(C18:C23)</f>
        <v>2093017.4699999997</v>
      </c>
      <c r="D17" s="14">
        <f aca="true" t="shared" si="6" ref="D17:I17">SUM(D18:D23)</f>
        <v>14591156.739999998</v>
      </c>
      <c r="E17" s="14">
        <f t="shared" si="6"/>
        <v>19260479.3107</v>
      </c>
      <c r="F17" s="14">
        <f t="shared" si="6"/>
        <v>7725759.5488249995</v>
      </c>
      <c r="G17" s="14">
        <f t="shared" si="6"/>
        <v>3674456.8606249997</v>
      </c>
      <c r="H17" s="14">
        <f t="shared" si="6"/>
        <v>3949981.560625</v>
      </c>
      <c r="I17" s="14">
        <f t="shared" si="6"/>
        <v>3910281.340625</v>
      </c>
      <c r="J17" s="31">
        <f t="shared" si="2"/>
        <v>1.3200104456351691</v>
      </c>
      <c r="K17" s="5"/>
    </row>
    <row r="18" spans="1:11" ht="18" customHeight="1">
      <c r="A18" s="25" t="s">
        <v>1097</v>
      </c>
      <c r="B18" s="11">
        <f>'[3]24)经营活动现金流量预算'!B18+'[4]25)经营活动现金流量预算'!B18+'[5]25)经营活动现金流量预算'!B18</f>
        <v>5900414.180000001</v>
      </c>
      <c r="C18" s="21">
        <f>'[3]24)经营活动现金流量预算'!C18+'[4]25)经营活动现金流量预算'!C18+'[5]25)经营活动现金流量预算'!C18</f>
        <v>1272922.92</v>
      </c>
      <c r="D18" s="28">
        <f aca="true" t="shared" si="7" ref="D18:D23">B18+C18</f>
        <v>7173337.100000001</v>
      </c>
      <c r="E18" s="14">
        <f t="shared" si="4"/>
        <v>15019942.149999999</v>
      </c>
      <c r="F18" s="26">
        <f>'[3]24)经营活动现金流量预算'!F18+'[4]25)经营活动现金流量预算'!F18+'[5]25)经营活动现金流量预算'!F18</f>
        <v>6662376.305</v>
      </c>
      <c r="G18" s="26">
        <f>'[3]24)经营活动现金流量预算'!G18+'[4]25)经营活动现金流量预算'!G18+'[5]25)经营活动现金流量预算'!G18</f>
        <v>2580969.655</v>
      </c>
      <c r="H18" s="26">
        <f>'[3]24)经营活动现金流量预算'!H18+'[4]25)经营活动现金流量预算'!H18+'[5]25)经营活动现金流量预算'!H18</f>
        <v>2912222.355</v>
      </c>
      <c r="I18" s="26">
        <f>'[3]24)经营活动现金流量预算'!I18+'[4]25)经营活动现金流量预算'!I18+'[5]25)经营活动现金流量预算'!I18</f>
        <v>2864373.835</v>
      </c>
      <c r="J18" s="19">
        <f t="shared" si="2"/>
        <v>2.093857006943114</v>
      </c>
      <c r="K18" s="5"/>
    </row>
    <row r="19" spans="1:11" ht="18" customHeight="1">
      <c r="A19" s="25" t="s">
        <v>1098</v>
      </c>
      <c r="B19" s="11">
        <f>'[3]24)经营活动现金流量预算'!B19+'[4]25)经营活动现金流量预算'!B19+'[5]25)经营活动现金流量预算'!B19</f>
        <v>2978783.8899999997</v>
      </c>
      <c r="C19" s="21">
        <f>'[3]24)经营活动现金流量预算'!C19+'[4]25)经营活动现金流量预算'!C19+'[5]25)经营活动现金流量预算'!C19</f>
        <v>0</v>
      </c>
      <c r="D19" s="28">
        <f t="shared" si="7"/>
        <v>2978783.8899999997</v>
      </c>
      <c r="E19" s="14">
        <f t="shared" si="4"/>
        <v>98040</v>
      </c>
      <c r="F19" s="26">
        <f>'[3]24)经营活动现金流量预算'!F19+'[4]25)经营活动现金流量预算'!F19+'[5]25)经营活动现金流量预算'!F19</f>
        <v>24510</v>
      </c>
      <c r="G19" s="26">
        <f>'[3]24)经营活动现金流量预算'!G19+'[4]25)经营活动现金流量预算'!G19+'[5]25)经营活动现金流量预算'!G19</f>
        <v>24510</v>
      </c>
      <c r="H19" s="26">
        <f>'[3]24)经营活动现金流量预算'!H19+'[4]25)经营活动现金流量预算'!H19+'[5]25)经营活动现金流量预算'!H19</f>
        <v>24510</v>
      </c>
      <c r="I19" s="26">
        <f>'[3]24)经营活动现金流量预算'!I19+'[4]25)经营活动现金流量预算'!I19+'[5]25)经营活动现金流量预算'!I19</f>
        <v>24510</v>
      </c>
      <c r="J19" s="19">
        <f t="shared" si="2"/>
        <v>0.032912760247269905</v>
      </c>
      <c r="K19" s="5"/>
    </row>
    <row r="20" spans="1:11" ht="18" customHeight="1">
      <c r="A20" s="25" t="s">
        <v>1099</v>
      </c>
      <c r="B20" s="11">
        <f>'[3]24)经营活动现金流量预算'!B20+'[4]25)经营活动现金流量预算'!B20+'[5]25)经营活动现金流量预算'!B20</f>
        <v>298989.99</v>
      </c>
      <c r="C20" s="21">
        <f>'[3]24)经营活动现金流量预算'!C20+'[4]25)经营活动现金流量预算'!C20+'[5]25)经营活动现金流量预算'!C20</f>
        <v>24992</v>
      </c>
      <c r="D20" s="28">
        <f t="shared" si="7"/>
        <v>323981.99</v>
      </c>
      <c r="E20" s="14">
        <f t="shared" si="4"/>
        <v>241276</v>
      </c>
      <c r="F20" s="26">
        <f>'[3]24)经营活动现金流量预算'!F20+'[4]25)经营活动现金流量预算'!F20+'[5]25)经营活动现金流量预算'!F20</f>
        <v>39944</v>
      </c>
      <c r="G20" s="26">
        <f>'[3]24)经营活动现金流量预算'!G20+'[4]25)经营活动现金流量预算'!G20+'[5]25)经营活动现金流量预算'!G20</f>
        <v>101544</v>
      </c>
      <c r="H20" s="26">
        <f>'[3]24)经营活动现金流量预算'!H20+'[4]25)经营活动现金流量预算'!H20+'[5]25)经营活动现金流量预算'!H20</f>
        <v>45844</v>
      </c>
      <c r="I20" s="26">
        <f>'[3]24)经营活动现金流量预算'!I20+'[4]25)经营活动现金流量预算'!I20+'[5]25)经营活动现金流量预算'!I20</f>
        <v>53944</v>
      </c>
      <c r="J20" s="19">
        <f t="shared" si="2"/>
        <v>0.744720408686915</v>
      </c>
      <c r="K20" s="5"/>
    </row>
    <row r="21" spans="1:11" ht="18" customHeight="1">
      <c r="A21" s="25" t="s">
        <v>1100</v>
      </c>
      <c r="B21" s="11">
        <f>'[3]24)经营活动现金流量预算'!B21+'[4]25)经营活动现金流量预算'!B21+'[5]25)经营活动现金流量预算'!B21</f>
        <v>2315977.61</v>
      </c>
      <c r="C21" s="21">
        <f>'[3]24)经营活动现金流量预算'!C21+'[4]25)经营活动现金流量预算'!C21+'[5]25)经营活动现金流量预算'!C21</f>
        <v>437535.94999999995</v>
      </c>
      <c r="D21" s="28">
        <f t="shared" si="7"/>
        <v>2753513.5599999996</v>
      </c>
      <c r="E21" s="14">
        <f t="shared" si="4"/>
        <v>2603908.2</v>
      </c>
      <c r="F21" s="26">
        <f>'[3]24)经营活动现金流量预算'!F21+'[4]25)经营活动现金流量预算'!F21+'[5]25)经营活动现金流量预算'!F21</f>
        <v>667549.47</v>
      </c>
      <c r="G21" s="26">
        <f>'[3]24)经营活动现金流量预算'!G21+'[4]25)经营活动现金流量预算'!G21+'[5]25)经营活动现金流量预算'!G21</f>
        <v>645452.91</v>
      </c>
      <c r="H21" s="26">
        <f>'[3]24)经营活动现金流量预算'!H21+'[4]25)经营活动现金流量预算'!H21+'[5]25)经营活动现金流量预算'!H21</f>
        <v>645452.91</v>
      </c>
      <c r="I21" s="26">
        <f>'[3]24)经营活动现金流量预算'!I21+'[4]25)经营活动现金流量预算'!I21+'[5]25)经营活动现金流量预算'!I21</f>
        <v>645452.91</v>
      </c>
      <c r="J21" s="19">
        <f t="shared" si="2"/>
        <v>0.9456674693114642</v>
      </c>
      <c r="K21" s="5"/>
    </row>
    <row r="22" spans="1:11" ht="18" customHeight="1">
      <c r="A22" s="25" t="s">
        <v>1101</v>
      </c>
      <c r="B22" s="11">
        <f>'[3]24)经营活动现金流量预算'!B22+'[4]25)经营活动现金流量预算'!B22+'[5]25)经营活动现金流量预算'!B22</f>
        <v>936654</v>
      </c>
      <c r="C22" s="21">
        <f>'[3]24)经营活动现金流量预算'!C22+'[4]25)经营活动现金流量预算'!C22+'[5]25)经营活动现金流量预算'!C22</f>
        <v>191543</v>
      </c>
      <c r="D22" s="28">
        <f t="shared" si="7"/>
        <v>1128197</v>
      </c>
      <c r="E22" s="14">
        <f t="shared" si="4"/>
        <v>905412</v>
      </c>
      <c r="F22" s="26">
        <f>'[3]24)经营活动现金流量预算'!F22+'[4]25)经营活动现金流量预算'!F22+'[5]25)经营活动现金流量预算'!F22</f>
        <v>227469</v>
      </c>
      <c r="G22" s="26">
        <f>'[3]24)经营活动现金流量预算'!G22+'[4]25)经营活动现金流量预算'!G22+'[5]25)经营活动现金流量预算'!G22</f>
        <v>225981</v>
      </c>
      <c r="H22" s="26">
        <f>'[3]24)经营活动现金流量预算'!H22+'[4]25)经营活动现金流量预算'!H22+'[5]25)经营活动现金流量预算'!H22</f>
        <v>225981</v>
      </c>
      <c r="I22" s="26">
        <f>'[3]24)经营活动现金流量预算'!I22+'[4]25)经营活动现金流量预算'!I22+'[5]25)经营活动现金流量预算'!I22</f>
        <v>225981</v>
      </c>
      <c r="J22" s="19">
        <f t="shared" si="2"/>
        <v>0.8025300545915297</v>
      </c>
      <c r="K22" s="5"/>
    </row>
    <row r="23" spans="1:11" ht="18" customHeight="1">
      <c r="A23" s="25" t="s">
        <v>1102</v>
      </c>
      <c r="B23" s="11">
        <f>'[3]24)经营活动现金流量预算'!B23+'[4]25)经营活动现金流量预算'!B23+'[5]25)经营活动现金流量预算'!B23</f>
        <v>67319.6</v>
      </c>
      <c r="C23" s="21">
        <f>'[3]24)经营活动现金流量预算'!C23+'[4]25)经营活动现金流量预算'!C23+'[5]25)经营活动现金流量预算'!C23</f>
        <v>166023.59999999998</v>
      </c>
      <c r="D23" s="28">
        <f t="shared" si="7"/>
        <v>233343.19999999998</v>
      </c>
      <c r="E23" s="14">
        <f t="shared" si="4"/>
        <v>391900.9607</v>
      </c>
      <c r="F23" s="26">
        <f>'[3]24)经营活动现金流量预算'!F23+'[4]25)经营活动现金流量预算'!F23+'[5]25)经营活动现金流量预算'!F23</f>
        <v>103910.773825</v>
      </c>
      <c r="G23" s="26">
        <f>'[3]24)经营活动现金流量预算'!G23+'[4]25)经营活动现金流量预算'!G23+'[5]25)经营活动现金流量预算'!G23</f>
        <v>95999.29562499998</v>
      </c>
      <c r="H23" s="26">
        <f>'[3]24)经营活动现金流量预算'!H23+'[4]25)经营活动现金流量预算'!H23+'[5]25)经营活动现金流量预算'!H23</f>
        <v>95971.29562499998</v>
      </c>
      <c r="I23" s="26">
        <f>'[3]24)经营活动现金流量预算'!I23+'[4]25)经营活动现金流量预算'!I23+'[5]25)经营活动现金流量预算'!I23</f>
        <v>96019.595625</v>
      </c>
      <c r="J23" s="19">
        <f t="shared" si="2"/>
        <v>1.6795045268085809</v>
      </c>
      <c r="K23" s="5"/>
    </row>
    <row r="24" spans="1:11" ht="18" customHeight="1">
      <c r="A24" s="25" t="s">
        <v>1103</v>
      </c>
      <c r="B24" s="14">
        <f>SUM(B25:B29)</f>
        <v>2272750.24</v>
      </c>
      <c r="C24" s="29">
        <f aca="true" t="shared" si="8" ref="C24:I24">SUM(C25:C29)</f>
        <v>267904.7572</v>
      </c>
      <c r="D24" s="14">
        <f t="shared" si="8"/>
        <v>2540654.9972</v>
      </c>
      <c r="E24" s="14">
        <f t="shared" si="8"/>
        <v>2037154.096870007</v>
      </c>
      <c r="F24" s="14">
        <f t="shared" si="8"/>
        <v>261029.84075471698</v>
      </c>
      <c r="G24" s="14">
        <f t="shared" si="8"/>
        <v>411065.84736032534</v>
      </c>
      <c r="H24" s="14">
        <f t="shared" si="8"/>
        <v>396373.6949189372</v>
      </c>
      <c r="I24" s="14">
        <f t="shared" si="8"/>
        <v>968684.7138360273</v>
      </c>
      <c r="J24" s="31">
        <f t="shared" si="2"/>
        <v>0.8018224037168012</v>
      </c>
      <c r="K24" s="5"/>
    </row>
    <row r="25" spans="1:11" ht="18" customHeight="1">
      <c r="A25" s="25" t="s">
        <v>1104</v>
      </c>
      <c r="B25" s="11">
        <f>'[3]24)经营活动现金流量预算'!B25+'[4]25)经营活动现金流量预算'!B25+'[5]25)经营活动现金流量预算'!B25</f>
        <v>433755.02</v>
      </c>
      <c r="C25" s="21">
        <f>'[3]24)经营活动现金流量预算'!C25+'[4]25)经营活动现金流量预算'!C25+'[5]25)经营活动现金流量预算'!C25</f>
        <v>58266.11720000001</v>
      </c>
      <c r="D25" s="14">
        <f>B25+C25</f>
        <v>492021.1372</v>
      </c>
      <c r="E25" s="14">
        <f t="shared" si="4"/>
        <v>276539.3666111636</v>
      </c>
      <c r="F25" s="26">
        <f>'[3]24)经营活动现金流量预算'!F25+'[4]25)经营活动现金流量预算'!F25+'[5]25)经营活动现金流量预算'!F25</f>
        <v>55693.52000000001</v>
      </c>
      <c r="G25" s="26">
        <f>'[3]24)经营活动现金流量预算'!G25+'[4]25)经营活动现金流量预算'!G25+'[5]25)经营活动现金流量预算'!G25</f>
        <v>72185.73357358489</v>
      </c>
      <c r="H25" s="26">
        <f>'[3]24)经营活动现金流量预算'!H25+'[4]25)经营活动现金流量预算'!H25+'[5]25)经营活动现金流量预算'!H25</f>
        <v>74856.79512837116</v>
      </c>
      <c r="I25" s="26">
        <f>'[3]24)经营活动现金流量预算'!I25+'[4]25)经营活动现金流量预算'!I25+'[5]25)经营活动现金流量预算'!I25</f>
        <v>73803.31790920754</v>
      </c>
      <c r="J25" s="19">
        <f t="shared" si="2"/>
        <v>0.5620477367799629</v>
      </c>
      <c r="K25" s="5"/>
    </row>
    <row r="26" spans="1:11" ht="18" customHeight="1">
      <c r="A26" s="25" t="s">
        <v>1105</v>
      </c>
      <c r="B26" s="11">
        <f>'[3]24)经营活动现金流量预算'!B26+'[4]25)经营活动现金流量预算'!B26+'[5]25)经营活动现金流量预算'!B26</f>
        <v>981321.12</v>
      </c>
      <c r="C26" s="21">
        <f>'[3]24)经营活动现金流量预算'!C26+'[4]25)经营活动现金流量预算'!C26+'[5]25)经营活动现金流量预算'!C26</f>
        <v>34409.83</v>
      </c>
      <c r="D26" s="14">
        <f>B26+C26</f>
        <v>1015730.95</v>
      </c>
      <c r="E26" s="14">
        <f t="shared" si="4"/>
        <v>574202.5265456877</v>
      </c>
      <c r="F26" s="26">
        <f>'[3]24)经营活动现金流量预算'!F26+'[4]25)经营活动现金流量预算'!F26+'[5]25)经营活动现金流量预算'!F26</f>
        <v>0</v>
      </c>
      <c r="G26" s="26">
        <f>'[3]24)经营活动现金流量预算'!G26+'[4]25)经营活动现金流量预算'!G26+'[5]25)经营活动现金流量预算'!G26</f>
        <v>0</v>
      </c>
      <c r="H26" s="26">
        <f>'[3]24)经营活动现金流量预算'!H26+'[4]25)经营活动现金流量预算'!H26+'[5]25)经营活动现金流量预算'!H26</f>
        <v>0</v>
      </c>
      <c r="I26" s="26">
        <f>'[3]24)经营活动现金流量预算'!I26+'[4]25)经营活动现金流量预算'!I26+'[5]25)经营活动现金流量预算'!I26</f>
        <v>574202.5265456877</v>
      </c>
      <c r="J26" s="19">
        <f t="shared" si="2"/>
        <v>0.5653096684172986</v>
      </c>
      <c r="K26" s="5"/>
    </row>
    <row r="27" spans="1:11" ht="18" customHeight="1">
      <c r="A27" s="25" t="s">
        <v>1106</v>
      </c>
      <c r="B27" s="11">
        <f>'[3]24)经营活动现金流量预算'!B27+'[4]25)经营活动现金流量预算'!B27+'[5]25)经营活动现金流量预算'!B27</f>
        <v>122588.33</v>
      </c>
      <c r="C27" s="21">
        <f>'[3]24)经营活动现金流量预算'!C27+'[4]25)经营活动现金流量预算'!C27+'[5]25)经营活动现金流量预算'!C27</f>
        <v>5417.5</v>
      </c>
      <c r="D27" s="14">
        <f>B27+C27</f>
        <v>128005.83</v>
      </c>
      <c r="E27" s="14">
        <f t="shared" si="4"/>
        <v>0</v>
      </c>
      <c r="F27" s="26">
        <f>'[3]24)经营活动现金流量预算'!F27+'[4]25)经营活动现金流量预算'!F27+'[5]25)经营活动现金流量预算'!F27</f>
        <v>0</v>
      </c>
      <c r="G27" s="26">
        <f>'[3]24)经营活动现金流量预算'!G27+'[4]25)经营活动现金流量预算'!G27+'[5]25)经营活动现金流量预算'!G27</f>
        <v>0</v>
      </c>
      <c r="H27" s="26">
        <f>'[3]24)经营活动现金流量预算'!H27+'[4]25)经营活动现金流量预算'!H27+'[5]25)经营活动现金流量预算'!H27</f>
        <v>0</v>
      </c>
      <c r="I27" s="26">
        <f>'[3]24)经营活动现金流量预算'!I27+'[4]25)经营活动现金流量预算'!I27+'[5]25)经营活动现金流量预算'!I27</f>
        <v>0</v>
      </c>
      <c r="J27" s="19">
        <f t="shared" si="2"/>
        <v>0</v>
      </c>
      <c r="K27" s="5"/>
    </row>
    <row r="28" spans="1:11" ht="18" customHeight="1">
      <c r="A28" s="25" t="s">
        <v>1107</v>
      </c>
      <c r="B28" s="11">
        <f>'[3]24)经营活动现金流量预算'!B28+'[4]25)经营活动现金流量预算'!B28+'[5]25)经营活动现金流量预算'!B28</f>
        <v>735085.77</v>
      </c>
      <c r="C28" s="21">
        <f>'[3]24)经营活动现金流量预算'!C28+'[4]25)经营活动现金流量预算'!C28+'[5]25)经营活动现金流量预算'!C28</f>
        <v>169811.31</v>
      </c>
      <c r="D28" s="14">
        <f>B28+C28</f>
        <v>904897.0800000001</v>
      </c>
      <c r="E28" s="14">
        <f t="shared" si="4"/>
        <v>1186162.2037131556</v>
      </c>
      <c r="F28" s="26">
        <f>'[3]24)经营活动现金流量预算'!F28+'[4]25)经营活动现金流量预算'!F28+'[5]25)经营活动现金流量预算'!F28</f>
        <v>205211.32075471696</v>
      </c>
      <c r="G28" s="26">
        <f>'[3]24)经营活动现金流量预算'!G28+'[4]25)经营活动现金流量预算'!G28+'[5]25)经营活动现金流量预算'!G28</f>
        <v>338755.11378674046</v>
      </c>
      <c r="H28" s="26">
        <f>'[3]24)经营活动现金流量预算'!H28+'[4]25)经营活动现金流量预算'!H28+'[5]25)经营活动现金流量预算'!H28</f>
        <v>321516.89979056607</v>
      </c>
      <c r="I28" s="26">
        <f>'[3]24)经营活动现金流量预算'!I28+'[4]25)经营活动现金流量预算'!I28+'[5]25)经营活动现金流量预算'!I28</f>
        <v>320678.86938113207</v>
      </c>
      <c r="J28" s="19">
        <f t="shared" si="2"/>
        <v>1.3108255401964115</v>
      </c>
      <c r="K28" s="5"/>
    </row>
    <row r="29" spans="1:11" ht="18" customHeight="1">
      <c r="A29" s="25" t="s">
        <v>1108</v>
      </c>
      <c r="B29" s="11">
        <f>'[3]24)经营活动现金流量预算'!B29+'[4]25)经营活动现金流量预算'!B29+'[5]25)经营活动现金流量预算'!B29</f>
        <v>0</v>
      </c>
      <c r="C29" s="21">
        <f>'[3]24)经营活动现金流量预算'!C29+'[4]25)经营活动现金流量预算'!C29+'[5]25)经营活动现金流量预算'!C29</f>
        <v>0</v>
      </c>
      <c r="D29" s="14">
        <f>B29+C29</f>
        <v>0</v>
      </c>
      <c r="E29" s="14">
        <f t="shared" si="4"/>
        <v>250</v>
      </c>
      <c r="F29" s="26">
        <f>'[3]24)经营活动现金流量预算'!F29+'[4]25)经营活动现金流量预算'!F29+'[5]25)经营活动现金流量预算'!F29</f>
        <v>125</v>
      </c>
      <c r="G29" s="26">
        <f>'[3]24)经营活动现金流量预算'!G29+'[4]25)经营活动现金流量预算'!G29+'[5]25)经营活动现金流量预算'!G29</f>
        <v>125</v>
      </c>
      <c r="H29" s="26">
        <f>'[3]24)经营活动现金流量预算'!H29+'[4]25)经营活动现金流量预算'!H29+'[5]25)经营活动现金流量预算'!H29</f>
        <v>0</v>
      </c>
      <c r="I29" s="26">
        <f>'[3]24)经营活动现金流量预算'!I29+'[4]25)经营活动现金流量预算'!I29+'[5]25)经营活动现金流量预算'!I29</f>
        <v>0</v>
      </c>
      <c r="J29" s="19" t="e">
        <f t="shared" si="2"/>
        <v>#DIV/0!</v>
      </c>
      <c r="K29" s="5"/>
    </row>
    <row r="30" spans="1:11" ht="18" customHeight="1">
      <c r="A30" s="25" t="s">
        <v>1109</v>
      </c>
      <c r="B30" s="14">
        <f>SUM(B31:B53)</f>
        <v>5461151.6</v>
      </c>
      <c r="C30" s="14">
        <f aca="true" t="shared" si="9" ref="C30:I30">SUM(C31:C53)</f>
        <v>1397125.95</v>
      </c>
      <c r="D30" s="14">
        <f t="shared" si="9"/>
        <v>6858277.549999999</v>
      </c>
      <c r="E30" s="14">
        <f t="shared" si="9"/>
        <v>4566152.68</v>
      </c>
      <c r="F30" s="14">
        <f t="shared" si="9"/>
        <v>803190.44</v>
      </c>
      <c r="G30" s="14">
        <f t="shared" si="9"/>
        <v>1609162.975</v>
      </c>
      <c r="H30" s="14">
        <f t="shared" si="9"/>
        <v>1008829.725</v>
      </c>
      <c r="I30" s="14">
        <f t="shared" si="9"/>
        <v>1144969.54</v>
      </c>
      <c r="J30" s="31">
        <f t="shared" si="2"/>
        <v>0.6657870940204221</v>
      </c>
      <c r="K30" s="5"/>
    </row>
    <row r="31" spans="1:11" ht="18" customHeight="1">
      <c r="A31" s="25" t="s">
        <v>1110</v>
      </c>
      <c r="B31" s="11">
        <f>'[3]24)经营活动现金流量预算'!B31+'[4]25)经营活动现金流量预算'!B31+'[5]25)经营活动现金流量预算'!B31</f>
        <v>102515.69</v>
      </c>
      <c r="C31" s="21">
        <f>'[3]24)经营活动现金流量预算'!C31+'[4]25)经营活动现金流量预算'!C31+'[5]25)经营活动现金流量预算'!C31</f>
        <v>17800</v>
      </c>
      <c r="D31" s="14">
        <f aca="true" t="shared" si="10" ref="D31:D53">B31+C31</f>
        <v>120315.69</v>
      </c>
      <c r="E31" s="14">
        <f t="shared" si="4"/>
        <v>160428</v>
      </c>
      <c r="F31" s="26">
        <f>'[3]24)经营活动现金流量预算'!F31+'[4]25)经营活动现金流量预算'!F31+'[5]25)经营活动现金流量预算'!F31</f>
        <v>40307</v>
      </c>
      <c r="G31" s="26">
        <f>'[3]24)经营活动现金流量预算'!G31+'[4]25)经营活动现金流量预算'!G31+'[5]25)经营活动现金流量预算'!G31</f>
        <v>43207</v>
      </c>
      <c r="H31" s="26">
        <f>'[3]24)经营活动现金流量预算'!H31+'[4]25)经营活动现金流量预算'!H31+'[5]25)经营活动现金流量预算'!H31</f>
        <v>37207</v>
      </c>
      <c r="I31" s="26">
        <f>'[3]24)经营活动现金流量预算'!I31+'[4]25)经营活动现金流量预算'!I31+'[5]25)经营活动现金流量预算'!I31</f>
        <v>39707</v>
      </c>
      <c r="J31" s="19">
        <f t="shared" si="2"/>
        <v>1.3333921785263418</v>
      </c>
      <c r="K31" s="5"/>
    </row>
    <row r="32" spans="1:11" ht="18" customHeight="1">
      <c r="A32" s="25" t="s">
        <v>1111</v>
      </c>
      <c r="B32" s="11">
        <f>'[3]24)经营活动现金流量预算'!B32+'[4]25)经营活动现金流量预算'!B32+'[5]25)经营活动现金流量预算'!B32</f>
        <v>21472.73</v>
      </c>
      <c r="C32" s="21">
        <f>'[3]24)经营活动现金流量预算'!C32+'[4]25)经营活动现金流量预算'!C32+'[5]25)经营活动现金流量预算'!C32</f>
        <v>6032</v>
      </c>
      <c r="D32" s="14">
        <f t="shared" si="10"/>
        <v>27504.73</v>
      </c>
      <c r="E32" s="14">
        <f t="shared" si="4"/>
        <v>64976</v>
      </c>
      <c r="F32" s="26">
        <f>'[3]24)经营活动现金流量预算'!F32+'[4]25)经营活动现金流量预算'!F32+'[5]25)经营活动现金流量预算'!F32</f>
        <v>15824</v>
      </c>
      <c r="G32" s="26">
        <f>'[3]24)经营活动现金流量预算'!G32+'[4]25)经营活动现金流量预算'!G32+'[5]25)经营活动现金流量预算'!G32</f>
        <v>16664</v>
      </c>
      <c r="H32" s="26">
        <f>'[3]24)经营活动现金流量预算'!H32+'[4]25)经营活动现金流量预算'!H32+'[5]25)经营活动现金流量预算'!H32</f>
        <v>16664</v>
      </c>
      <c r="I32" s="26">
        <f>'[3]24)经营活动现金流量预算'!I32+'[4]25)经营活动现金流量预算'!I32+'[5]25)经营活动现金流量预算'!I32</f>
        <v>15824</v>
      </c>
      <c r="J32" s="19">
        <f t="shared" si="2"/>
        <v>2.3623573109061606</v>
      </c>
      <c r="K32" s="5"/>
    </row>
    <row r="33" spans="1:11" ht="18" customHeight="1">
      <c r="A33" s="25" t="s">
        <v>1112</v>
      </c>
      <c r="B33" s="11">
        <f>'[3]24)经营活动现金流量预算'!B33+'[4]25)经营活动现金流量预算'!B33+'[5]25)经营活动现金流量预算'!B33</f>
        <v>0</v>
      </c>
      <c r="C33" s="21">
        <f>'[3]24)经营活动现金流量预算'!C33+'[4]25)经营活动现金流量预算'!C33+'[5]25)经营活动现金流量预算'!C33</f>
        <v>0</v>
      </c>
      <c r="D33" s="14">
        <f t="shared" si="10"/>
        <v>0</v>
      </c>
      <c r="E33" s="14">
        <f t="shared" si="4"/>
        <v>7000</v>
      </c>
      <c r="F33" s="26">
        <f>'[3]24)经营活动现金流量预算'!F33+'[4]25)经营活动现金流量预算'!F33+'[5]25)经营活动现金流量预算'!F33</f>
        <v>1750</v>
      </c>
      <c r="G33" s="26">
        <f>'[3]24)经营活动现金流量预算'!G33+'[4]25)经营活动现金流量预算'!G33+'[5]25)经营活动现金流量预算'!G33</f>
        <v>1750</v>
      </c>
      <c r="H33" s="26">
        <f>'[3]24)经营活动现金流量预算'!H33+'[4]25)经营活动现金流量预算'!H33+'[5]25)经营活动现金流量预算'!H33</f>
        <v>1750</v>
      </c>
      <c r="I33" s="26">
        <f>'[3]24)经营活动现金流量预算'!I33+'[4]25)经营活动现金流量预算'!I33+'[5]25)经营活动现金流量预算'!I33</f>
        <v>1750</v>
      </c>
      <c r="J33" s="19" t="e">
        <f t="shared" si="2"/>
        <v>#DIV/0!</v>
      </c>
      <c r="K33" s="5"/>
    </row>
    <row r="34" spans="1:11" ht="18" customHeight="1">
      <c r="A34" s="25" t="s">
        <v>1113</v>
      </c>
      <c r="B34" s="11">
        <f>'[3]24)经营活动现金流量预算'!B34+'[4]25)经营活动现金流量预算'!B34+'[5]25)经营活动现金流量预算'!B34</f>
        <v>27058.09</v>
      </c>
      <c r="C34" s="21">
        <f>'[3]24)经营活动现金流量预算'!C34+'[4]25)经营活动现金流量预算'!C34+'[5]25)经营活动现金流量预算'!C34</f>
        <v>8408</v>
      </c>
      <c r="D34" s="14">
        <f t="shared" si="10"/>
        <v>35466.09</v>
      </c>
      <c r="E34" s="14">
        <f t="shared" si="4"/>
        <v>38668</v>
      </c>
      <c r="F34" s="26">
        <f>'[3]24)经营活动现金流量预算'!F34+'[4]25)经营活动现金流量预算'!F34+'[5]25)经营活动现金流量预算'!F34</f>
        <v>9667</v>
      </c>
      <c r="G34" s="26">
        <f>'[3]24)经营活动现金流量预算'!G34+'[4]25)经营活动现金流量预算'!G34+'[5]25)经营活动现金流量预算'!G34</f>
        <v>9667</v>
      </c>
      <c r="H34" s="26">
        <f>'[3]24)经营活动现金流量预算'!H34+'[4]25)经营活动现金流量预算'!H34+'[5]25)经营活动现金流量预算'!H34</f>
        <v>9667</v>
      </c>
      <c r="I34" s="26">
        <f>'[3]24)经营活动现金流量预算'!I34+'[4]25)经营活动现金流量预算'!I34+'[5]25)经营活动现金流量预算'!I34</f>
        <v>9667</v>
      </c>
      <c r="J34" s="19">
        <f t="shared" si="2"/>
        <v>1.0902808852061223</v>
      </c>
      <c r="K34" s="5"/>
    </row>
    <row r="35" spans="1:11" ht="18" customHeight="1">
      <c r="A35" s="25" t="s">
        <v>1114</v>
      </c>
      <c r="B35" s="11">
        <f>'[3]24)经营活动现金流量预算'!B35+'[4]25)经营活动现金流量预算'!B35+'[5]25)经营活动现金流量预算'!B35</f>
        <v>679264.95</v>
      </c>
      <c r="C35" s="21">
        <f>'[3]24)经营活动现金流量预算'!C35+'[4]25)经营活动现金流量预算'!C35+'[5]25)经营活动现金流量预算'!C35</f>
        <v>202558.5</v>
      </c>
      <c r="D35" s="14">
        <f t="shared" si="10"/>
        <v>881823.45</v>
      </c>
      <c r="E35" s="14">
        <f t="shared" si="4"/>
        <v>813678.75</v>
      </c>
      <c r="F35" s="26">
        <f>'[3]24)经营活动现金流量预算'!F35+'[4]25)经营活动现金流量预算'!F35+'[5]25)经营活动现金流量预算'!F35</f>
        <v>122540</v>
      </c>
      <c r="G35" s="26">
        <f>'[3]24)经营活动现金流量预算'!G35+'[4]25)经营活动现金流量预算'!G35+'[5]25)经营活动现金流量预算'!G35</f>
        <v>254540</v>
      </c>
      <c r="H35" s="26">
        <f>'[3]24)经营活动现金流量预算'!H35+'[4]25)经营活动现金流量预算'!H35+'[5]25)经营活动现金流量预算'!H35</f>
        <v>149748.75</v>
      </c>
      <c r="I35" s="26">
        <f>'[3]24)经营活动现金流量预算'!I35+'[4]25)经营活动现金流量预算'!I35+'[5]25)经营活动现金流量预算'!I35</f>
        <v>286850</v>
      </c>
      <c r="J35" s="19">
        <f t="shared" si="2"/>
        <v>0.9227229668251622</v>
      </c>
      <c r="K35" s="5"/>
    </row>
    <row r="36" spans="1:11" ht="18" customHeight="1">
      <c r="A36" s="25" t="s">
        <v>1115</v>
      </c>
      <c r="B36" s="11">
        <f>'[3]24)经营活动现金流量预算'!B36+'[4]25)经营活动现金流量预算'!B36+'[5]25)经营活动现金流量预算'!B36</f>
        <v>96914.65</v>
      </c>
      <c r="C36" s="21">
        <f>'[3]24)经营活动现金流量预算'!C36+'[4]25)经营活动现金流量预算'!C36+'[5]25)经营活动现金流量预算'!C36</f>
        <v>15080</v>
      </c>
      <c r="D36" s="14">
        <f t="shared" si="10"/>
        <v>111994.65</v>
      </c>
      <c r="E36" s="14">
        <f t="shared" si="4"/>
        <v>209800</v>
      </c>
      <c r="F36" s="26">
        <f>'[3]24)经营活动现金流量预算'!F36+'[4]25)经营活动现金流量预算'!F36+'[5]25)经营活动现金流量预算'!F36</f>
        <v>38750</v>
      </c>
      <c r="G36" s="26">
        <f>'[3]24)经营活动现金流量预算'!G36+'[4]25)经营活动现金流量预算'!G36+'[5]25)经营活动现金流量预算'!G36</f>
        <v>56350</v>
      </c>
      <c r="H36" s="26">
        <f>'[3]24)经营活动现金流量预算'!H36+'[4]25)经营活动现金流量预算'!H36+'[5]25)经营活动现金流量预算'!H36</f>
        <v>67350</v>
      </c>
      <c r="I36" s="26">
        <f>'[3]24)经营活动现金流量预算'!I36+'[4]25)经营活动现金流量预算'!I36+'[5]25)经营活动现金流量预算'!I36</f>
        <v>47350</v>
      </c>
      <c r="J36" s="19">
        <f t="shared" si="2"/>
        <v>1.8733037694211288</v>
      </c>
      <c r="K36" s="5"/>
    </row>
    <row r="37" spans="1:11" ht="18" customHeight="1">
      <c r="A37" s="25" t="s">
        <v>1116</v>
      </c>
      <c r="B37" s="11">
        <f>'[3]24)经营活动现金流量预算'!B37+'[4]25)经营活动现金流量预算'!B37+'[5]25)经营活动现金流量预算'!B37</f>
        <v>16256.09</v>
      </c>
      <c r="C37" s="21">
        <f>'[3]24)经营活动现金流量预算'!C37+'[4]25)经营活动现金流量预算'!C37+'[5]25)经营活动现金流量预算'!C37</f>
        <v>18000</v>
      </c>
      <c r="D37" s="14">
        <f t="shared" si="10"/>
        <v>34256.09</v>
      </c>
      <c r="E37" s="14">
        <f t="shared" si="4"/>
        <v>100900</v>
      </c>
      <c r="F37" s="26">
        <f>'[3]24)经营活动现金流量预算'!F37+'[4]25)经营活动现金流量预算'!F37+'[5]25)经营活动现金流量预算'!F37</f>
        <v>5375</v>
      </c>
      <c r="G37" s="26">
        <f>'[3]24)经营活动现金流量预算'!G37+'[4]25)经营活动现金流量预算'!G37+'[5]25)经营活动现金流量预算'!G37</f>
        <v>18375</v>
      </c>
      <c r="H37" s="26">
        <f>'[3]24)经营活动现金流量预算'!H37+'[4]25)经营活动现金流量预算'!H37+'[5]25)经营活动现金流量预算'!H37</f>
        <v>20375</v>
      </c>
      <c r="I37" s="26">
        <f>'[3]24)经营活动现金流量预算'!I37+'[4]25)经营活动现金流量预算'!I37+'[5]25)经营活动现金流量预算'!I37</f>
        <v>56775</v>
      </c>
      <c r="J37" s="19">
        <f t="shared" si="2"/>
        <v>2.9454616682756267</v>
      </c>
      <c r="K37" s="5"/>
    </row>
    <row r="38" spans="1:11" ht="18" customHeight="1">
      <c r="A38" s="25" t="s">
        <v>1117</v>
      </c>
      <c r="B38" s="11">
        <f>'[3]24)经营活动现金流量预算'!B38+'[4]25)经营活动现金流量预算'!B38+'[5]25)经营活动现金流量预算'!B38</f>
        <v>49400</v>
      </c>
      <c r="C38" s="21">
        <f>'[3]24)经营活动现金流量预算'!C38+'[4]25)经营活动现金流量预算'!C38+'[5]25)经营活动现金流量预算'!C38</f>
        <v>0</v>
      </c>
      <c r="D38" s="14">
        <f t="shared" si="10"/>
        <v>49400</v>
      </c>
      <c r="E38" s="14">
        <f>F38+G38+H38+I38</f>
        <v>1432750.9300000002</v>
      </c>
      <c r="F38" s="26">
        <f>'[3]24)经营活动现金流量预算'!F38+'[4]25)经营活动现金流量预算'!F38+'[5]25)经营活动现金流量预算'!F38</f>
        <v>223409.94</v>
      </c>
      <c r="G38" s="26">
        <f>'[3]24)经营活动现金流量预算'!G38+'[4]25)经营活动现金流量预算'!G38+'[5]25)经营活动现金流量预算'!G38</f>
        <v>381230.475</v>
      </c>
      <c r="H38" s="26">
        <f>'[3]24)经营活动现金流量预算'!H38+'[4]25)经营活动现金流量预算'!H38+'[5]25)经营活动现金流量预算'!H38</f>
        <v>384730.475</v>
      </c>
      <c r="I38" s="26">
        <f>'[3]24)经营活动现金流量预算'!I38+'[4]25)经营活动现金流量预算'!I38+'[5]25)经营活动现金流量预算'!I38</f>
        <v>443380.04000000004</v>
      </c>
      <c r="J38" s="19"/>
      <c r="K38" s="5"/>
    </row>
    <row r="39" spans="1:11" ht="18" customHeight="1">
      <c r="A39" s="25" t="s">
        <v>1118</v>
      </c>
      <c r="B39" s="11">
        <f>'[3]24)经营活动现金流量预算'!B39+'[4]25)经营活动现金流量预算'!B39+'[5]25)经营活动现金流量预算'!B39</f>
        <v>1789</v>
      </c>
      <c r="C39" s="21">
        <f>'[3]24)经营活动现金流量预算'!C39+'[4]25)经营活动现金流量预算'!C39+'[5]25)经营活动现金流量预算'!C39</f>
        <v>0</v>
      </c>
      <c r="D39" s="14">
        <f t="shared" si="10"/>
        <v>1789</v>
      </c>
      <c r="E39" s="14">
        <f aca="true" t="shared" si="11" ref="E39:E53">SUM(F39:I39)</f>
        <v>55174</v>
      </c>
      <c r="F39" s="26">
        <f>'[3]24)经营活动现金流量预算'!F39+'[4]25)经营活动现金流量预算'!F39+'[5]25)经营活动现金流量预算'!F39</f>
        <v>5000</v>
      </c>
      <c r="G39" s="26">
        <f>'[3]24)经营活动现金流量预算'!G39+'[4]25)经营活动现金流量预算'!G39+'[5]25)经营活动现金流量预算'!G39</f>
        <v>38174</v>
      </c>
      <c r="H39" s="26">
        <f>'[3]24)经营活动现金流量预算'!H39+'[4]25)经营活动现金流量预算'!H39+'[5]25)经营活动现金流量预算'!H39</f>
        <v>5000</v>
      </c>
      <c r="I39" s="26">
        <f>'[3]24)经营活动现金流量预算'!I39+'[4]25)经营活动现金流量预算'!I39+'[5]25)经营活动现金流量预算'!I39</f>
        <v>7000</v>
      </c>
      <c r="J39" s="19">
        <f aca="true" t="shared" si="12" ref="J39:J53">E39/D39</f>
        <v>30.84069312465064</v>
      </c>
      <c r="K39" s="5"/>
    </row>
    <row r="40" spans="1:11" ht="18" customHeight="1">
      <c r="A40" s="25" t="s">
        <v>1119</v>
      </c>
      <c r="B40" s="11">
        <f>'[3]24)经营活动现金流量预算'!B40+'[4]25)经营活动现金流量预算'!B40+'[5]25)经营活动现金流量预算'!B40</f>
        <v>18270.809999999998</v>
      </c>
      <c r="C40" s="21">
        <f>'[3]24)经营活动现金流量预算'!C40+'[4]25)经营活动现金流量预算'!C40+'[5]25)经营活动现金流量预算'!C40</f>
        <v>48380</v>
      </c>
      <c r="D40" s="14">
        <f t="shared" si="10"/>
        <v>66650.81</v>
      </c>
      <c r="E40" s="14">
        <f t="shared" si="11"/>
        <v>92274</v>
      </c>
      <c r="F40" s="26">
        <f>'[3]24)经营活动现金流量预算'!F40+'[4]25)经营活动现金流量预算'!F40+'[5]25)经营活动现金流量预算'!F40</f>
        <v>14800</v>
      </c>
      <c r="G40" s="26">
        <f>'[3]24)经营活动现金流量预算'!G40+'[4]25)经营活动现金流量预算'!G40+'[5]25)经营活动现金流量预算'!G40</f>
        <v>12400</v>
      </c>
      <c r="H40" s="26">
        <f>'[3]24)经营活动现金流量预算'!H40+'[4]25)经营活动现金流量预算'!H40+'[5]25)经营活动现金流量预算'!H40</f>
        <v>10900</v>
      </c>
      <c r="I40" s="26">
        <f>'[3]24)经营活动现金流量预算'!I40+'[4]25)经营活动现金流量预算'!I40+'[5]25)经营活动现金流量预算'!I40</f>
        <v>54174</v>
      </c>
      <c r="J40" s="19">
        <f t="shared" si="12"/>
        <v>1.3844392888848613</v>
      </c>
      <c r="K40" s="5"/>
    </row>
    <row r="41" spans="1:11" ht="18" customHeight="1">
      <c r="A41" s="25" t="s">
        <v>1120</v>
      </c>
      <c r="B41" s="11">
        <f>'[3]24)经营活动现金流量预算'!B41+'[4]25)经营活动现金流量预算'!B41+'[5]25)经营活动现金流量预算'!B41</f>
        <v>33461.48</v>
      </c>
      <c r="C41" s="21">
        <f>'[3]24)经营活动现金流量预算'!C41+'[4]25)经营活动现金流量预算'!C41+'[5]25)经营活动现金流量预算'!C41</f>
        <v>300</v>
      </c>
      <c r="D41" s="14">
        <f t="shared" si="10"/>
        <v>33761.48</v>
      </c>
      <c r="E41" s="14">
        <f t="shared" si="11"/>
        <v>32500</v>
      </c>
      <c r="F41" s="26">
        <f>'[3]24)经营活动现金流量预算'!F41+'[4]25)经营活动现金流量预算'!F41+'[5]25)经营活动现金流量预算'!F41</f>
        <v>8100</v>
      </c>
      <c r="G41" s="26">
        <f>'[3]24)经营活动现金流量预算'!G41+'[4]25)经营活动现金流量预算'!G41+'[5]25)经营活动现金流量预算'!G41</f>
        <v>8400</v>
      </c>
      <c r="H41" s="26">
        <f>'[3]24)经营活动现金流量预算'!H41+'[4]25)经营活动现金流量预算'!H41+'[5]25)经营活动现金流量预算'!H41</f>
        <v>8100</v>
      </c>
      <c r="I41" s="26">
        <f>'[3]24)经营活动现金流量预算'!I41+'[4]25)经营活动现金流量预算'!I41+'[5]25)经营活动现金流量预算'!I41</f>
        <v>7900</v>
      </c>
      <c r="J41" s="19">
        <f t="shared" si="12"/>
        <v>0.9626355242720401</v>
      </c>
      <c r="K41" s="5"/>
    </row>
    <row r="42" spans="1:11" ht="18" customHeight="1">
      <c r="A42" s="25" t="s">
        <v>1121</v>
      </c>
      <c r="B42" s="11">
        <f>'[3]24)经营活动现金流量预算'!B42+'[4]25)经营活动现金流量预算'!B42+'[5]25)经营活动现金流量预算'!B42</f>
        <v>0</v>
      </c>
      <c r="C42" s="21">
        <f>'[3]24)经营活动现金流量预算'!C42+'[4]25)经营活动现金流量预算'!C42+'[5]25)经营活动现金流量预算'!C42</f>
        <v>0</v>
      </c>
      <c r="D42" s="14">
        <f t="shared" si="10"/>
        <v>0</v>
      </c>
      <c r="E42" s="14">
        <f t="shared" si="11"/>
        <v>137700</v>
      </c>
      <c r="F42" s="26">
        <f>'[3]24)经营活动现金流量预算'!F42+'[4]25)经营活动现金流量预算'!F42+'[5]25)经营活动现金流量预算'!F42</f>
        <v>13550</v>
      </c>
      <c r="G42" s="26">
        <f>'[3]24)经营活动现金流量预算'!G42+'[4]25)经营活动现金流量预算'!G42+'[5]25)经营活动现金流量预算'!G42</f>
        <v>66250</v>
      </c>
      <c r="H42" s="26">
        <f>'[3]24)经营活动现金流量预算'!H42+'[4]25)经营活动现金流量预算'!H42+'[5]25)经营活动现金流量预算'!H42</f>
        <v>44350</v>
      </c>
      <c r="I42" s="26">
        <f>'[3]24)经营活动现金流量预算'!I42+'[4]25)经营活动现金流量预算'!I42+'[5]25)经营活动现金流量预算'!I42</f>
        <v>13550</v>
      </c>
      <c r="J42" s="19" t="e">
        <f t="shared" si="12"/>
        <v>#DIV/0!</v>
      </c>
      <c r="K42" s="5"/>
    </row>
    <row r="43" spans="1:11" ht="18" customHeight="1">
      <c r="A43" s="25" t="s">
        <v>1122</v>
      </c>
      <c r="B43" s="11">
        <f>'[3]24)经营活动现金流量预算'!B43+'[4]25)经营活动现金流量预算'!B43+'[5]25)经营活动现金流量预算'!B43</f>
        <v>0</v>
      </c>
      <c r="C43" s="21">
        <f>'[3]24)经营活动现金流量预算'!C43+'[4]25)经营活动现金流量预算'!C43+'[5]25)经营活动现金流量预算'!C43</f>
        <v>0</v>
      </c>
      <c r="D43" s="14">
        <f t="shared" si="10"/>
        <v>0</v>
      </c>
      <c r="E43" s="14">
        <f t="shared" si="11"/>
        <v>7900</v>
      </c>
      <c r="F43" s="26">
        <f>'[3]24)经营活动现金流量预算'!F43+'[4]25)经营活动现金流量预算'!F43+'[5]25)经营活动现金流量预算'!F43</f>
        <v>4000</v>
      </c>
      <c r="G43" s="26">
        <f>'[3]24)经营活动现金流量预算'!G43+'[4]25)经营活动现金流量预算'!G43+'[5]25)经营活动现金流量预算'!G43</f>
        <v>1300</v>
      </c>
      <c r="H43" s="26">
        <f>'[3]24)经营活动现金流量预算'!H43+'[4]25)经营活动现金流量预算'!H43+'[5]25)经营活动现金流量预算'!H43</f>
        <v>1300</v>
      </c>
      <c r="I43" s="26">
        <f>'[3]24)经营活动现金流量预算'!I43+'[4]25)经营活动现金流量预算'!I43+'[5]25)经营活动现金流量预算'!I43</f>
        <v>1300</v>
      </c>
      <c r="J43" s="19" t="e">
        <f t="shared" si="12"/>
        <v>#DIV/0!</v>
      </c>
      <c r="K43" s="5"/>
    </row>
    <row r="44" spans="1:11" ht="18" customHeight="1">
      <c r="A44" s="25" t="s">
        <v>1123</v>
      </c>
      <c r="B44" s="11">
        <f>'[3]24)经营活动现金流量预算'!B44+'[4]25)经营活动现金流量预算'!B44+'[5]25)经营活动现金流量预算'!B44</f>
        <v>0</v>
      </c>
      <c r="C44" s="21">
        <f>'[3]24)经营活动现金流量预算'!C44+'[4]25)经营活动现金流量预算'!C44+'[5]25)经营活动现金流量预算'!C44</f>
        <v>0</v>
      </c>
      <c r="D44" s="14">
        <f t="shared" si="10"/>
        <v>0</v>
      </c>
      <c r="E44" s="14">
        <f t="shared" si="11"/>
        <v>10000</v>
      </c>
      <c r="F44" s="26">
        <f>'[3]24)经营活动现金流量预算'!F44+'[4]25)经营活动现金流量预算'!F44+'[5]25)经营活动现金流量预算'!F44</f>
        <v>0</v>
      </c>
      <c r="G44" s="26">
        <f>'[3]24)经营活动现金流量预算'!G44+'[4]25)经营活动现金流量预算'!G44+'[5]25)经营活动现金流量预算'!G44</f>
        <v>10000</v>
      </c>
      <c r="H44" s="26">
        <f>'[3]24)经营活动现金流量预算'!H44+'[4]25)经营活动现金流量预算'!H44+'[5]25)经营活动现金流量预算'!H44</f>
        <v>0</v>
      </c>
      <c r="I44" s="26">
        <f>'[3]24)经营活动现金流量预算'!I44+'[4]25)经营活动现金流量预算'!I44+'[5]25)经营活动现金流量预算'!I44</f>
        <v>0</v>
      </c>
      <c r="J44" s="19" t="e">
        <f t="shared" si="12"/>
        <v>#DIV/0!</v>
      </c>
      <c r="K44" s="5"/>
    </row>
    <row r="45" spans="1:11" ht="18" customHeight="1">
      <c r="A45" s="30" t="s">
        <v>1124</v>
      </c>
      <c r="B45" s="11">
        <f>'[3]24)经营活动现金流量预算'!B45+'[4]25)经营活动现金流量预算'!B45+'[5]25)经营活动现金流量预算'!B45</f>
        <v>254138.11</v>
      </c>
      <c r="C45" s="21">
        <f>'[3]24)经营活动现金流量预算'!C45+'[4]25)经营活动现金流量预算'!C45+'[5]25)经营活动现金流量预算'!C45</f>
        <v>0</v>
      </c>
      <c r="D45" s="14">
        <f t="shared" si="10"/>
        <v>254138.11</v>
      </c>
      <c r="E45" s="14">
        <f t="shared" si="11"/>
        <v>366000</v>
      </c>
      <c r="F45" s="26">
        <f>'[3]24)经营活动现金流量预算'!F45+'[4]25)经营活动现金流量预算'!F45+'[5]25)经营活动现金流量预算'!F45</f>
        <v>80500</v>
      </c>
      <c r="G45" s="26">
        <f>'[3]24)经营活动现金流量预算'!G45+'[4]25)经营活动现金流量预算'!G45+'[5]25)经营活动现金流量预算'!G45</f>
        <v>252500</v>
      </c>
      <c r="H45" s="26">
        <f>'[3]24)经营活动现金流量预算'!H45+'[4]25)经营活动现金流量预算'!H45+'[5]25)经营活动现金流量预算'!H45</f>
        <v>20500</v>
      </c>
      <c r="I45" s="26">
        <f>'[3]24)经营活动现金流量预算'!I45+'[4]25)经营活动现金流量预算'!I45+'[5]25)经营活动现金流量预算'!I45</f>
        <v>12500</v>
      </c>
      <c r="J45" s="19">
        <f t="shared" si="12"/>
        <v>1.4401618080814405</v>
      </c>
      <c r="K45" s="5"/>
    </row>
    <row r="46" spans="1:11" ht="18" customHeight="1">
      <c r="A46" s="30" t="s">
        <v>1125</v>
      </c>
      <c r="B46" s="11">
        <f>'[3]24)经营活动现金流量预算'!B46+'[4]25)经营活动现金流量预算'!B46+'[5]25)经营活动现金流量预算'!B46</f>
        <v>127680.23000000001</v>
      </c>
      <c r="C46" s="21">
        <f>'[3]24)经营活动现金流量预算'!C46+'[4]25)经营活动现金流量预算'!C46+'[5]25)经营活动现金流量预算'!C46</f>
        <v>175639.45</v>
      </c>
      <c r="D46" s="14">
        <f t="shared" si="10"/>
        <v>303319.68000000005</v>
      </c>
      <c r="E46" s="14">
        <f t="shared" si="11"/>
        <v>606088</v>
      </c>
      <c r="F46" s="26">
        <f>'[3]24)经营活动现金流量预算'!F46+'[4]25)经营活动现金流量预算'!F46+'[5]25)经营活动现金流量预算'!F46</f>
        <v>133150</v>
      </c>
      <c r="G46" s="26">
        <f>'[3]24)经营活动现金流量预算'!G46+'[4]25)经营活动现金流量预算'!G46+'[5]25)经营活动现金流量预算'!G46</f>
        <v>186148</v>
      </c>
      <c r="H46" s="26">
        <f>'[3]24)经营活动现金流量预算'!H46+'[4]25)经营活动现金流量预算'!H46+'[5]25)经营活动现金流量预算'!H46</f>
        <v>181800</v>
      </c>
      <c r="I46" s="26">
        <f>'[3]24)经营活动现金流量预算'!I46+'[4]25)经营活动现金流量预算'!I46+'[5]25)经营活动现金流量预算'!I46</f>
        <v>104990</v>
      </c>
      <c r="J46" s="19">
        <f t="shared" si="12"/>
        <v>1.9981822478515074</v>
      </c>
      <c r="K46" s="5"/>
    </row>
    <row r="47" spans="1:11" ht="18" customHeight="1">
      <c r="A47" s="30" t="s">
        <v>1126</v>
      </c>
      <c r="B47" s="11">
        <f>'[3]24)经营活动现金流量预算'!B47+'[4]25)经营活动现金流量预算'!B47+'[5]25)经营活动现金流量预算'!B47</f>
        <v>0</v>
      </c>
      <c r="C47" s="21">
        <f>'[3]24)经营活动现金流量预算'!C47+'[4]25)经营活动现金流量预算'!C47+'[5]25)经营活动现金流量预算'!C47</f>
        <v>0</v>
      </c>
      <c r="D47" s="14">
        <f t="shared" si="10"/>
        <v>0</v>
      </c>
      <c r="E47" s="14">
        <f t="shared" si="11"/>
        <v>0</v>
      </c>
      <c r="F47" s="26">
        <f>'[3]24)经营活动现金流量预算'!F47+'[4]25)经营活动现金流量预算'!F47+'[5]25)经营活动现金流量预算'!F47</f>
        <v>0</v>
      </c>
      <c r="G47" s="26">
        <f>'[3]24)经营活动现金流量预算'!G47+'[4]25)经营活动现金流量预算'!G47+'[5]25)经营活动现金流量预算'!G47</f>
        <v>0</v>
      </c>
      <c r="H47" s="26">
        <f>'[3]24)经营活动现金流量预算'!H47+'[4]25)经营活动现金流量预算'!H47+'[5]25)经营活动现金流量预算'!H47</f>
        <v>0</v>
      </c>
      <c r="I47" s="26">
        <f>'[3]24)经营活动现金流量预算'!I47+'[4]25)经营活动现金流量预算'!I47+'[5]25)经营活动现金流量预算'!I47</f>
        <v>0</v>
      </c>
      <c r="J47" s="19" t="e">
        <f t="shared" si="12"/>
        <v>#DIV/0!</v>
      </c>
      <c r="K47" s="5"/>
    </row>
    <row r="48" spans="1:11" ht="18" customHeight="1">
      <c r="A48" s="30" t="s">
        <v>1127</v>
      </c>
      <c r="B48" s="11">
        <f>'[3]24)经营活动现金流量预算'!B48+'[4]25)经营活动现金流量预算'!B48+'[5]25)经营活动现金流量预算'!B48</f>
        <v>2212</v>
      </c>
      <c r="C48" s="21">
        <f>'[3]24)经营活动现金流量预算'!C48+'[4]25)经营活动现金流量预算'!C48+'[5]25)经营活动现金流量预算'!C48</f>
        <v>2428</v>
      </c>
      <c r="D48" s="14">
        <f t="shared" si="10"/>
        <v>4640</v>
      </c>
      <c r="E48" s="14">
        <f t="shared" si="11"/>
        <v>11000</v>
      </c>
      <c r="F48" s="26">
        <f>'[3]24)经营活动现金流量预算'!F48+'[4]25)经营活动现金流量预算'!F48+'[5]25)经营活动现金流量预算'!F48</f>
        <v>2500</v>
      </c>
      <c r="G48" s="26">
        <f>'[3]24)经营活动现金流量预算'!G48+'[4]25)经营活动现金流量预算'!G48+'[5]25)经营活动现金流量预算'!G48</f>
        <v>2500</v>
      </c>
      <c r="H48" s="26">
        <f>'[3]24)经营活动现金流量预算'!H48+'[4]25)经营活动现金流量预算'!H48+'[5]25)经营活动现金流量预算'!H48</f>
        <v>2500</v>
      </c>
      <c r="I48" s="26">
        <f>'[3]24)经营活动现金流量预算'!I48+'[4]25)经营活动现金流量预算'!I48+'[5]25)经营活动现金流量预算'!I48</f>
        <v>3500</v>
      </c>
      <c r="J48" s="19">
        <f t="shared" si="12"/>
        <v>2.3706896551724137</v>
      </c>
      <c r="K48" s="5"/>
    </row>
    <row r="49" spans="1:11" ht="18" customHeight="1">
      <c r="A49" s="30" t="s">
        <v>1128</v>
      </c>
      <c r="B49" s="11">
        <f>'[3]24)经营活动现金流量预算'!B49+'[4]25)经营活动现金流量预算'!B49+'[5]25)经营活动现金流量预算'!B49</f>
        <v>4612</v>
      </c>
      <c r="C49" s="21">
        <f>'[3]24)经营活动现金流量预算'!C49+'[4]25)经营活动现金流量预算'!C49+'[5]25)经营活动现金流量预算'!C49</f>
        <v>800</v>
      </c>
      <c r="D49" s="14">
        <f t="shared" si="10"/>
        <v>5412</v>
      </c>
      <c r="E49" s="14">
        <f t="shared" si="11"/>
        <v>11560</v>
      </c>
      <c r="F49" s="26">
        <f>'[3]24)经营活动现金流量预算'!F49+'[4]25)经营活动现金流量预算'!F49+'[5]25)经营活动现金流量预算'!F49</f>
        <v>3940</v>
      </c>
      <c r="G49" s="26">
        <f>'[3]24)经营活动现金流量预算'!G49+'[4]25)经营活动现金流量预算'!G49+'[5]25)经营活动现金流量预算'!G49</f>
        <v>2740</v>
      </c>
      <c r="H49" s="26">
        <f>'[3]24)经营活动现金流量预算'!H49+'[4]25)经营活动现金流量预算'!H49+'[5]25)经营活动现金流量预算'!H49</f>
        <v>2740</v>
      </c>
      <c r="I49" s="26">
        <f>'[3]24)经营活动现金流量预算'!I49+'[4]25)经营活动现金流量预算'!I49+'[5]25)经营活动现金流量预算'!I49</f>
        <v>2140</v>
      </c>
      <c r="J49" s="19">
        <f t="shared" si="12"/>
        <v>2.1359940872135996</v>
      </c>
      <c r="K49" s="5"/>
    </row>
    <row r="50" spans="1:11" ht="18" customHeight="1">
      <c r="A50" s="30" t="s">
        <v>1129</v>
      </c>
      <c r="B50" s="11">
        <f>'[3]24)经营活动现金流量预算'!B50+'[4]25)经营活动现金流量预算'!B50+'[5]25)经营活动现金流量预算'!B50</f>
        <v>2828144.5799999996</v>
      </c>
      <c r="C50" s="21">
        <f>'[3]24)经营活动现金流量预算'!C50+'[4]25)经营活动现金流量预算'!C50+'[5]25)经营活动现金流量预算'!C50</f>
        <v>901700</v>
      </c>
      <c r="D50" s="14">
        <f t="shared" si="10"/>
        <v>3729844.5799999996</v>
      </c>
      <c r="E50" s="14">
        <f t="shared" si="11"/>
        <v>407755</v>
      </c>
      <c r="F50" s="26">
        <f>'[3]24)经营活动现金流量预算'!F50+'[4]25)经营活动现金流量预算'!F50+'[5]25)经营活动现金流量预算'!F50</f>
        <v>80027.5</v>
      </c>
      <c r="G50" s="26">
        <f>'[3]24)经营活动现金流量预算'!G50+'[4]25)经营活动现金流量预算'!G50+'[5]25)经营活动现金流量预算'!G50</f>
        <v>246967.5</v>
      </c>
      <c r="H50" s="26">
        <f>'[3]24)经营活动现金流量预算'!H50+'[4]25)经营活动现金流量预算'!H50+'[5]25)经营活动现金流量预算'!H50</f>
        <v>44147.5</v>
      </c>
      <c r="I50" s="26">
        <f>'[3]24)经营活动现金流量预算'!I50+'[4]25)经营活动现金流量预算'!I50+'[5]25)经营活动现金流量预算'!I50</f>
        <v>36612.5</v>
      </c>
      <c r="J50" s="19">
        <f t="shared" si="12"/>
        <v>0.10932224956140131</v>
      </c>
      <c r="K50" s="5"/>
    </row>
    <row r="51" spans="1:11" ht="18" customHeight="1">
      <c r="A51" s="25" t="s">
        <v>1130</v>
      </c>
      <c r="B51" s="11">
        <f>'[3]24)经营活动现金流量预算'!B51+'[4]25)经营活动现金流量预算'!B51+'[5]25)经营活动现金流量预算'!B51</f>
        <v>0</v>
      </c>
      <c r="C51" s="21">
        <f>'[3]24)经营活动现金流量预算'!C51+'[4]25)经营活动现金流量预算'!C51+'[5]25)经营活动现金流量预算'!C51</f>
        <v>0</v>
      </c>
      <c r="D51" s="14">
        <f t="shared" si="10"/>
        <v>0</v>
      </c>
      <c r="E51" s="14">
        <f t="shared" si="11"/>
        <v>0</v>
      </c>
      <c r="F51" s="26"/>
      <c r="G51" s="26">
        <f>'[3]24)经营活动现金流量预算'!G51+'[4]25)经营活动现金流量预算'!G51+'[5]25)经营活动现金流量预算'!G51</f>
        <v>0</v>
      </c>
      <c r="H51" s="26">
        <f>'[3]24)经营活动现金流量预算'!H51+'[4]25)经营活动现金流量预算'!H51+'[5]25)经营活动现金流量预算'!H51</f>
        <v>0</v>
      </c>
      <c r="I51" s="26">
        <f>'[3]24)经营活动现金流量预算'!I51+'[4]25)经营活动现金流量预算'!I51+'[5]25)经营活动现金流量预算'!I51</f>
        <v>0</v>
      </c>
      <c r="J51" s="31" t="e">
        <f t="shared" si="12"/>
        <v>#DIV/0!</v>
      </c>
      <c r="K51" s="5"/>
    </row>
    <row r="52" spans="1:11" ht="18" customHeight="1">
      <c r="A52" s="25" t="s">
        <v>1131</v>
      </c>
      <c r="B52" s="11">
        <f>'[3]24)经营活动现金流量预算'!B52+'[4]25)经营活动现金流量预算'!B52+'[5]25)经营活动现金流量预算'!B52</f>
        <v>1197961.19</v>
      </c>
      <c r="C52" s="21">
        <f>'[3]24)经营活动现金流量预算'!C52+'[4]25)经营活动现金流量预算'!C52+'[5]25)经营活动现金流量预算'!C52</f>
        <v>0</v>
      </c>
      <c r="D52" s="14">
        <f t="shared" si="10"/>
        <v>1197961.19</v>
      </c>
      <c r="E52" s="14">
        <f t="shared" si="11"/>
        <v>0</v>
      </c>
      <c r="F52" s="26">
        <f>'[3]24)经营活动现金流量预算'!F52+'[4]25)经营活动现金流量预算'!F52+'[5]25)经营活动现金流量预算'!F52</f>
        <v>0</v>
      </c>
      <c r="G52" s="26">
        <f>'[3]24)经营活动现金流量预算'!G52+'[4]25)经营活动现金流量预算'!G52+'[5]25)经营活动现金流量预算'!G52</f>
        <v>0</v>
      </c>
      <c r="H52" s="26">
        <f>'[3]24)经营活动现金流量预算'!H52+'[4]25)经营活动现金流量预算'!H52+'[5]25)经营活动现金流量预算'!H52</f>
        <v>0</v>
      </c>
      <c r="I52" s="26">
        <f>'[3]24)经营活动现金流量预算'!I52+'[4]25)经营活动现金流量预算'!I52+'[5]25)经营活动现金流量预算'!I52</f>
        <v>0</v>
      </c>
      <c r="J52" s="31">
        <f t="shared" si="12"/>
        <v>0</v>
      </c>
      <c r="K52" s="5"/>
    </row>
    <row r="53" spans="1:11" ht="18" customHeight="1">
      <c r="A53" s="25" t="s">
        <v>1132</v>
      </c>
      <c r="B53" s="13"/>
      <c r="C53" s="13"/>
      <c r="D53" s="14">
        <f t="shared" si="10"/>
        <v>0</v>
      </c>
      <c r="E53" s="14">
        <f t="shared" si="11"/>
        <v>0</v>
      </c>
      <c r="F53" s="14">
        <f>'[3]24)经营活动现金流量预算'!F52+'[4]25)经营活动现金流量预算'!F53+'[5]25)经营活动现金流量预算'!F53</f>
        <v>0</v>
      </c>
      <c r="G53" s="14">
        <f>'[3]24)经营活动现金流量预算'!G52+'[4]25)经营活动现金流量预算'!G53+'[5]25)经营活动现金流量预算'!G53</f>
        <v>0</v>
      </c>
      <c r="H53" s="14">
        <f>'[3]24)经营活动现金流量预算'!H52+'[4]25)经营活动现金流量预算'!H53+'[5]25)经营活动现金流量预算'!H53</f>
        <v>0</v>
      </c>
      <c r="I53" s="14">
        <f>'[3]24)经营活动现金流量预算'!I52+'[4]25)经营活动现金流量预算'!I53+'[5]25)经营活动现金流量预算'!I53</f>
        <v>0</v>
      </c>
      <c r="J53" s="31" t="e">
        <f t="shared" si="12"/>
        <v>#DIV/0!</v>
      </c>
      <c r="K53" s="5"/>
    </row>
    <row r="54" spans="1:11" ht="18" customHeight="1">
      <c r="A54" s="5"/>
      <c r="B54" s="16"/>
      <c r="C54" s="4" t="s">
        <v>340</v>
      </c>
      <c r="D54" s="5"/>
      <c r="E54" s="5"/>
      <c r="F54" s="16"/>
      <c r="G54" s="17" t="s">
        <v>380</v>
      </c>
      <c r="H54" s="5"/>
      <c r="I54" s="5"/>
      <c r="J54" s="5"/>
      <c r="K54" s="5"/>
    </row>
  </sheetData>
  <sheetProtection/>
  <mergeCells count="7">
    <mergeCell ref="A1:K1"/>
    <mergeCell ref="B2:D2"/>
    <mergeCell ref="B3:D3"/>
    <mergeCell ref="E3:I3"/>
    <mergeCell ref="A3:A4"/>
    <mergeCell ref="J3:J4"/>
    <mergeCell ref="K3:K4"/>
  </mergeCells>
  <printOptions/>
  <pageMargins left="1.06" right="0.75" top="0.43000000000000005" bottom="0.31" header="0.28" footer="0.16"/>
  <pageSetup fitToHeight="1" fitToWidth="1" horizontalDpi="300" verticalDpi="300" orientation="landscape" paperSize="9" scale="56"/>
</worksheet>
</file>

<file path=xl/worksheets/sheet42.xml><?xml version="1.0" encoding="utf-8"?>
<worksheet xmlns="http://schemas.openxmlformats.org/spreadsheetml/2006/main" xmlns:r="http://schemas.openxmlformats.org/officeDocument/2006/relationships">
  <sheetPr>
    <pageSetUpPr fitToPage="1"/>
  </sheetPr>
  <dimension ref="A1:K26"/>
  <sheetViews>
    <sheetView workbookViewId="0" topLeftCell="A1">
      <selection activeCell="B11" sqref="B11"/>
    </sheetView>
  </sheetViews>
  <sheetFormatPr defaultColWidth="9.140625" defaultRowHeight="12.75"/>
  <cols>
    <col min="1" max="1" width="54.57421875" style="0" customWidth="1"/>
    <col min="2" max="9" width="16.7109375" style="0" customWidth="1"/>
    <col min="10" max="11" width="14.00390625" style="0" customWidth="1"/>
  </cols>
  <sheetData>
    <row r="1" spans="1:11" ht="25.5" customHeight="1">
      <c r="A1" s="1" t="s">
        <v>1133</v>
      </c>
      <c r="B1" s="1" t="s">
        <v>1133</v>
      </c>
      <c r="C1" s="1" t="s">
        <v>1133</v>
      </c>
      <c r="D1" s="1" t="s">
        <v>1133</v>
      </c>
      <c r="E1" s="1" t="s">
        <v>1133</v>
      </c>
      <c r="F1" s="1" t="s">
        <v>1133</v>
      </c>
      <c r="G1" s="1" t="s">
        <v>1133</v>
      </c>
      <c r="H1" s="1" t="s">
        <v>1133</v>
      </c>
      <c r="I1" s="1" t="s">
        <v>1133</v>
      </c>
      <c r="J1" s="1" t="s">
        <v>1133</v>
      </c>
      <c r="K1" s="1" t="s">
        <v>1133</v>
      </c>
    </row>
    <row r="2" spans="1:11" ht="18" customHeight="1">
      <c r="A2" s="2" t="s">
        <v>287</v>
      </c>
      <c r="B2" s="3"/>
      <c r="C2" s="3"/>
      <c r="D2" s="3"/>
      <c r="E2" s="4" t="s">
        <v>288</v>
      </c>
      <c r="F2" s="5"/>
      <c r="G2" s="5"/>
      <c r="H2" s="5"/>
      <c r="I2" s="5"/>
      <c r="J2" s="16" t="s">
        <v>1</v>
      </c>
      <c r="K2" s="5"/>
    </row>
    <row r="3" spans="1:11" ht="18.75" customHeight="1">
      <c r="A3" s="6" t="s">
        <v>290</v>
      </c>
      <c r="B3" s="7" t="s">
        <v>366</v>
      </c>
      <c r="C3" s="7"/>
      <c r="D3" s="8"/>
      <c r="E3" s="9" t="s">
        <v>292</v>
      </c>
      <c r="F3" s="9" t="s">
        <v>292</v>
      </c>
      <c r="G3" s="9" t="s">
        <v>292</v>
      </c>
      <c r="H3" s="9" t="s">
        <v>292</v>
      </c>
      <c r="I3" s="9" t="s">
        <v>292</v>
      </c>
      <c r="J3" s="9" t="s">
        <v>293</v>
      </c>
      <c r="K3" s="18" t="s">
        <v>33</v>
      </c>
    </row>
    <row r="4" spans="1:11" ht="18" customHeight="1">
      <c r="A4" s="6" t="s">
        <v>290</v>
      </c>
      <c r="B4" s="9" t="s">
        <v>295</v>
      </c>
      <c r="C4" s="9" t="s">
        <v>296</v>
      </c>
      <c r="D4" s="9" t="s">
        <v>464</v>
      </c>
      <c r="E4" s="9" t="s">
        <v>314</v>
      </c>
      <c r="F4" s="9" t="s">
        <v>324</v>
      </c>
      <c r="G4" s="9" t="s">
        <v>331</v>
      </c>
      <c r="H4" s="9" t="s">
        <v>334</v>
      </c>
      <c r="I4" s="9" t="s">
        <v>336</v>
      </c>
      <c r="J4" s="9" t="s">
        <v>293</v>
      </c>
      <c r="K4" s="18" t="s">
        <v>33</v>
      </c>
    </row>
    <row r="5" spans="1:11" ht="19.5" customHeight="1">
      <c r="A5" s="10" t="s">
        <v>1134</v>
      </c>
      <c r="B5" s="11">
        <f>B6-B12</f>
        <v>-302511.76</v>
      </c>
      <c r="C5" s="11">
        <f aca="true" t="shared" si="0" ref="C5:I5">C6-C12</f>
        <v>-75839</v>
      </c>
      <c r="D5" s="11">
        <f t="shared" si="0"/>
        <v>-378350.76</v>
      </c>
      <c r="E5" s="11">
        <f t="shared" si="0"/>
        <v>-848938</v>
      </c>
      <c r="F5" s="11">
        <f t="shared" si="0"/>
        <v>-413500</v>
      </c>
      <c r="G5" s="11">
        <f t="shared" si="0"/>
        <v>-266188</v>
      </c>
      <c r="H5" s="11">
        <f t="shared" si="0"/>
        <v>-113750</v>
      </c>
      <c r="I5" s="11">
        <f t="shared" si="0"/>
        <v>-55500</v>
      </c>
      <c r="J5" s="19">
        <f>E5/D5</f>
        <v>2.2437856342617097</v>
      </c>
      <c r="K5" s="5"/>
    </row>
    <row r="6" spans="1:11" ht="19.5" customHeight="1">
      <c r="A6" s="10" t="s">
        <v>1135</v>
      </c>
      <c r="B6" s="11">
        <f>SUM(B7:B11)</f>
        <v>692400</v>
      </c>
      <c r="C6" s="11">
        <f>SUM(C7:C11)</f>
        <v>0</v>
      </c>
      <c r="D6" s="11">
        <f>SUM(D7:D11)</f>
        <v>692400</v>
      </c>
      <c r="E6" s="11">
        <f aca="true" t="shared" si="1" ref="C6:I6">SUM(E7:E11)</f>
        <v>0</v>
      </c>
      <c r="F6" s="11">
        <f t="shared" si="1"/>
        <v>0</v>
      </c>
      <c r="G6" s="11">
        <f t="shared" si="1"/>
        <v>0</v>
      </c>
      <c r="H6" s="11">
        <f t="shared" si="1"/>
        <v>0</v>
      </c>
      <c r="I6" s="11">
        <f t="shared" si="1"/>
        <v>0</v>
      </c>
      <c r="J6" s="19">
        <f aca="true" t="shared" si="2" ref="J6:J13">E6/D6</f>
        <v>0</v>
      </c>
      <c r="K6" s="5"/>
    </row>
    <row r="7" spans="1:11" ht="19.5" customHeight="1">
      <c r="A7" s="10" t="s">
        <v>1136</v>
      </c>
      <c r="B7" s="11">
        <f>'[3]25投资活动现金流量预算'!B7+'[4]26)投资活动现金流量预算'!B7+'[5]26)投资活动现金流量预算'!B7</f>
        <v>0</v>
      </c>
      <c r="C7" s="12"/>
      <c r="D7" s="11">
        <f>B7+C7</f>
        <v>0</v>
      </c>
      <c r="E7" s="11">
        <f>SUM(F7:I7)</f>
        <v>0</v>
      </c>
      <c r="F7" s="20"/>
      <c r="G7" s="20"/>
      <c r="H7" s="20"/>
      <c r="I7" s="22">
        <v>0</v>
      </c>
      <c r="J7" s="19" t="e">
        <f t="shared" si="2"/>
        <v>#DIV/0!</v>
      </c>
      <c r="K7" s="5"/>
    </row>
    <row r="8" spans="1:11" ht="19.5" customHeight="1">
      <c r="A8" s="10" t="s">
        <v>1137</v>
      </c>
      <c r="B8" s="11">
        <f>'[3]25投资活动现金流量预算'!B8+'[4]26)投资活动现金流量预算'!B8+'[5]26)投资活动现金流量预算'!B8</f>
        <v>0</v>
      </c>
      <c r="C8" s="21">
        <v>0</v>
      </c>
      <c r="D8" s="11">
        <f aca="true" t="shared" si="3" ref="D8:D25">B8+C8</f>
        <v>0</v>
      </c>
      <c r="E8" s="11">
        <f>SUM(F8:I8)</f>
        <v>0</v>
      </c>
      <c r="F8" s="22">
        <f>'22)利润预算表'!H19</f>
        <v>0</v>
      </c>
      <c r="G8" s="22">
        <f>'22)利润预算表'!I19</f>
        <v>0</v>
      </c>
      <c r="H8" s="22">
        <f>'22)利润预算表'!J19</f>
        <v>0</v>
      </c>
      <c r="I8" s="22">
        <f>'22)利润预算表'!K19</f>
        <v>0</v>
      </c>
      <c r="J8" s="19" t="e">
        <f t="shared" si="2"/>
        <v>#DIV/0!</v>
      </c>
      <c r="K8" s="5"/>
    </row>
    <row r="9" spans="1:11" ht="19.5" customHeight="1">
      <c r="A9" s="10" t="s">
        <v>1138</v>
      </c>
      <c r="B9" s="11">
        <f>'[3]25投资活动现金流量预算'!B9+'[4]26)投资活动现金流量预算'!B9+'[5]26)投资活动现金流量预算'!B9</f>
        <v>0</v>
      </c>
      <c r="C9" s="12"/>
      <c r="D9" s="11">
        <f t="shared" si="3"/>
        <v>0</v>
      </c>
      <c r="E9" s="11">
        <f>SUM(F9:I9)</f>
        <v>0</v>
      </c>
      <c r="F9" s="20"/>
      <c r="G9" s="20"/>
      <c r="H9" s="20"/>
      <c r="I9" s="20"/>
      <c r="J9" s="19" t="e">
        <f t="shared" si="2"/>
        <v>#DIV/0!</v>
      </c>
      <c r="K9" s="5"/>
    </row>
    <row r="10" spans="1:11" ht="19.5" customHeight="1">
      <c r="A10" s="10" t="s">
        <v>1139</v>
      </c>
      <c r="B10" s="11">
        <f>'[3]25投资活动现金流量预算'!B10+'[4]26)投资活动现金流量预算'!B10+'[5]26)投资活动现金流量预算'!B10</f>
        <v>0</v>
      </c>
      <c r="C10" s="12"/>
      <c r="D10" s="11">
        <f t="shared" si="3"/>
        <v>0</v>
      </c>
      <c r="E10" s="11">
        <f>SUM(F10:I10)</f>
        <v>0</v>
      </c>
      <c r="F10" s="20"/>
      <c r="G10" s="20"/>
      <c r="H10" s="20"/>
      <c r="I10" s="20"/>
      <c r="J10" s="19" t="e">
        <f t="shared" si="2"/>
        <v>#DIV/0!</v>
      </c>
      <c r="K10" s="5"/>
    </row>
    <row r="11" spans="1:11" ht="19.5" customHeight="1">
      <c r="A11" s="10" t="s">
        <v>1140</v>
      </c>
      <c r="B11" s="11">
        <f>'[3]25投资活动现金流量预算'!B11+'[4]26)投资活动现金流量预算'!B11+'[5]26)投资活动现金流量预算'!B11</f>
        <v>692400</v>
      </c>
      <c r="C11" s="12"/>
      <c r="D11" s="11">
        <f t="shared" si="3"/>
        <v>692400</v>
      </c>
      <c r="E11" s="11">
        <f>SUM(F11:I11)</f>
        <v>0</v>
      </c>
      <c r="F11" s="22">
        <f>'11)合作项目预算表'!J8</f>
        <v>0</v>
      </c>
      <c r="G11" s="22">
        <f>'11)合作项目预算表'!K8</f>
        <v>0</v>
      </c>
      <c r="H11" s="22">
        <f>'11)合作项目预算表'!L8</f>
        <v>0</v>
      </c>
      <c r="I11" s="22">
        <f>'11)合作项目预算表'!M8</f>
        <v>0</v>
      </c>
      <c r="J11" s="19">
        <f t="shared" si="2"/>
        <v>0</v>
      </c>
      <c r="K11" s="5"/>
    </row>
    <row r="12" spans="1:11" ht="19.5" customHeight="1">
      <c r="A12" s="10" t="s">
        <v>1141</v>
      </c>
      <c r="B12" s="11">
        <f>B13+B23+B24+B25</f>
        <v>994911.76</v>
      </c>
      <c r="C12" s="11">
        <f aca="true" t="shared" si="4" ref="B12:I12">C13+C23+C24+C25</f>
        <v>75839</v>
      </c>
      <c r="D12" s="11">
        <f t="shared" si="4"/>
        <v>1070750.76</v>
      </c>
      <c r="E12" s="11">
        <f t="shared" si="4"/>
        <v>848938</v>
      </c>
      <c r="F12" s="11">
        <f t="shared" si="4"/>
        <v>413500</v>
      </c>
      <c r="G12" s="11">
        <f t="shared" si="4"/>
        <v>266188</v>
      </c>
      <c r="H12" s="11">
        <f t="shared" si="4"/>
        <v>113750</v>
      </c>
      <c r="I12" s="11">
        <f t="shared" si="4"/>
        <v>55500</v>
      </c>
      <c r="J12" s="19">
        <f t="shared" si="2"/>
        <v>0.7928437052895484</v>
      </c>
      <c r="K12" s="5"/>
    </row>
    <row r="13" spans="1:11" ht="19.5" customHeight="1">
      <c r="A13" s="10" t="s">
        <v>1142</v>
      </c>
      <c r="B13" s="11">
        <f>SUM(B14:B22)</f>
        <v>994911.76</v>
      </c>
      <c r="C13" s="11">
        <f aca="true" t="shared" si="5" ref="B13:I13">SUM(C14:C22)</f>
        <v>75839</v>
      </c>
      <c r="D13" s="11">
        <f t="shared" si="5"/>
        <v>1070750.76</v>
      </c>
      <c r="E13" s="11">
        <f t="shared" si="5"/>
        <v>848938</v>
      </c>
      <c r="F13" s="11">
        <f t="shared" si="5"/>
        <v>413500</v>
      </c>
      <c r="G13" s="11">
        <f t="shared" si="5"/>
        <v>266188</v>
      </c>
      <c r="H13" s="11">
        <f t="shared" si="5"/>
        <v>113750</v>
      </c>
      <c r="I13" s="11">
        <f t="shared" si="5"/>
        <v>55500</v>
      </c>
      <c r="J13" s="19">
        <f t="shared" si="2"/>
        <v>0.7928437052895484</v>
      </c>
      <c r="K13" s="5"/>
    </row>
    <row r="14" spans="1:11" ht="19.5" customHeight="1">
      <c r="A14" s="10" t="s">
        <v>1143</v>
      </c>
      <c r="B14" s="11">
        <f>'[3]25投资活动现金流量预算'!B14+'[4]26)投资活动现金流量预算'!B14+'[5]26)投资活动现金流量预算'!B14</f>
        <v>2828</v>
      </c>
      <c r="C14" s="21">
        <f>'[3]25投资活动现金流量预算'!C14+'[4]26)投资活动现金流量预算'!C14+'[5]26)投资活动现金流量预算'!C14</f>
        <v>0</v>
      </c>
      <c r="D14" s="11">
        <f t="shared" si="3"/>
        <v>2828</v>
      </c>
      <c r="E14" s="11">
        <f aca="true" t="shared" si="6" ref="E14:E25">SUM(F14:I14)</f>
        <v>0</v>
      </c>
      <c r="F14" s="22"/>
      <c r="G14" s="22"/>
      <c r="H14" s="22"/>
      <c r="I14" s="22"/>
      <c r="J14" s="19">
        <f aca="true" t="shared" si="7" ref="J14:J25">E14/D14</f>
        <v>0</v>
      </c>
      <c r="K14" s="5"/>
    </row>
    <row r="15" spans="1:11" ht="19.5" customHeight="1">
      <c r="A15" s="10" t="s">
        <v>1144</v>
      </c>
      <c r="B15" s="11">
        <f>'[3]25投资活动现金流量预算'!B15+'[4]26)投资活动现金流量预算'!B15+'[5]26)投资活动现金流量预算'!B15</f>
        <v>197715.53</v>
      </c>
      <c r="C15" s="21">
        <f>'[3]25投资活动现金流量预算'!C15+'[4]26)投资活动现金流量预算'!C15+'[5]26)投资活动现金流量预算'!C15</f>
        <v>8500</v>
      </c>
      <c r="D15" s="11">
        <f t="shared" si="3"/>
        <v>206215.53</v>
      </c>
      <c r="E15" s="11">
        <f t="shared" si="6"/>
        <v>0</v>
      </c>
      <c r="F15" s="22"/>
      <c r="G15" s="22"/>
      <c r="H15" s="22"/>
      <c r="I15" s="22"/>
      <c r="J15" s="19">
        <f t="shared" si="7"/>
        <v>0</v>
      </c>
      <c r="K15" s="5"/>
    </row>
    <row r="16" spans="1:11" ht="19.5" customHeight="1">
      <c r="A16" s="10" t="s">
        <v>1145</v>
      </c>
      <c r="B16" s="11">
        <f>'[3]25投资活动现金流量预算'!B16+'[4]26)投资活动现金流量预算'!B16+'[5]26)投资活动现金流量预算'!B16</f>
        <v>74635.94</v>
      </c>
      <c r="C16" s="21">
        <f>'[3]25投资活动现金流量预算'!C16+'[4]26)投资活动现金流量预算'!C16+'[5]26)投资活动现金流量预算'!C16</f>
        <v>13700</v>
      </c>
      <c r="D16" s="11">
        <f t="shared" si="3"/>
        <v>88335.94</v>
      </c>
      <c r="E16" s="11">
        <f t="shared" si="6"/>
        <v>270590</v>
      </c>
      <c r="F16" s="22">
        <f>'6)固定资产及无形资产预算表 '!H7</f>
        <v>169090</v>
      </c>
      <c r="G16" s="22">
        <f>'6)固定资产及无形资产预算表 '!I7</f>
        <v>96000</v>
      </c>
      <c r="H16" s="22">
        <f>'6)固定资产及无形资产预算表 '!J7</f>
        <v>0</v>
      </c>
      <c r="I16" s="22">
        <f>'6)固定资产及无形资产预算表 '!K7</f>
        <v>5500</v>
      </c>
      <c r="J16" s="19">
        <f t="shared" si="7"/>
        <v>3.06319262578742</v>
      </c>
      <c r="K16" s="5"/>
    </row>
    <row r="17" spans="1:11" ht="19.5" customHeight="1">
      <c r="A17" s="10" t="s">
        <v>1146</v>
      </c>
      <c r="B17" s="11">
        <f>'[3]25投资活动现金流量预算'!B17+'[4]26)投资活动现金流量预算'!B17+'[5]26)投资活动现金流量预算'!B17</f>
        <v>15580</v>
      </c>
      <c r="C17" s="21">
        <f>'[3]25投资活动现金流量预算'!C17+'[4]26)投资活动现金流量预算'!C17+'[5]26)投资活动现金流量预算'!C17</f>
        <v>0</v>
      </c>
      <c r="D17" s="11">
        <f t="shared" si="3"/>
        <v>15580</v>
      </c>
      <c r="E17" s="11">
        <f t="shared" si="6"/>
        <v>327500</v>
      </c>
      <c r="F17" s="22">
        <f>'6)固定资产及无形资产预算表 '!H8</f>
        <v>50000</v>
      </c>
      <c r="G17" s="22">
        <f>'6)固定资产及无形资产预算表 '!I8</f>
        <v>113750</v>
      </c>
      <c r="H17" s="22">
        <f>'6)固定资产及无形资产预算表 '!J8</f>
        <v>113750</v>
      </c>
      <c r="I17" s="22">
        <f>'6)固定资产及无形资产预算表 '!K8</f>
        <v>50000</v>
      </c>
      <c r="J17" s="19">
        <f t="shared" si="7"/>
        <v>21.020539152759948</v>
      </c>
      <c r="K17" s="5"/>
    </row>
    <row r="18" spans="1:11" ht="19.5" customHeight="1">
      <c r="A18" s="10" t="s">
        <v>1147</v>
      </c>
      <c r="B18" s="11">
        <f>'[3]25投资活动现金流量预算'!B18+'[4]26)投资活动现金流量预算'!B18+'[5]26)投资活动现金流量预算'!B18</f>
        <v>0</v>
      </c>
      <c r="C18" s="21">
        <f>'[3]25投资活动现金流量预算'!C18+'[4]26)投资活动现金流量预算'!C18+'[5]26)投资活动现金流量预算'!C18</f>
        <v>0</v>
      </c>
      <c r="D18" s="11">
        <f t="shared" si="3"/>
        <v>0</v>
      </c>
      <c r="E18" s="11">
        <f t="shared" si="6"/>
        <v>11000</v>
      </c>
      <c r="F18" s="22">
        <f>'6)固定资产及无形资产预算表 '!H9</f>
        <v>11000</v>
      </c>
      <c r="G18" s="22">
        <f>'6)固定资产及无形资产预算表 '!I9</f>
        <v>0</v>
      </c>
      <c r="H18" s="22">
        <f>'6)固定资产及无形资产预算表 '!J9</f>
        <v>0</v>
      </c>
      <c r="I18" s="22">
        <f>'6)固定资产及无形资产预算表 '!K9</f>
        <v>0</v>
      </c>
      <c r="J18" s="19" t="e">
        <f t="shared" si="7"/>
        <v>#DIV/0!</v>
      </c>
      <c r="K18" s="5"/>
    </row>
    <row r="19" spans="1:11" ht="19.5" customHeight="1">
      <c r="A19" s="10" t="s">
        <v>1148</v>
      </c>
      <c r="B19" s="11">
        <f>'[3]25投资活动现金流量预算'!B19+'[4]26)投资活动现金流量预算'!B19+'[5]26)投资活动现金流量预算'!B19</f>
        <v>0</v>
      </c>
      <c r="C19" s="21">
        <f>'[3]25投资活动现金流量预算'!C19+'[4]26)投资活动现金流量预算'!C19+'[5]26)投资活动现金流量预算'!C19</f>
        <v>0</v>
      </c>
      <c r="D19" s="11">
        <f t="shared" si="3"/>
        <v>0</v>
      </c>
      <c r="E19" s="11">
        <f t="shared" si="6"/>
        <v>0</v>
      </c>
      <c r="F19" s="22"/>
      <c r="G19" s="22"/>
      <c r="H19" s="22"/>
      <c r="I19" s="22"/>
      <c r="J19" s="19" t="e">
        <f t="shared" si="7"/>
        <v>#DIV/0!</v>
      </c>
      <c r="K19" s="5"/>
    </row>
    <row r="20" spans="1:11" ht="19.5" customHeight="1">
      <c r="A20" s="10" t="s">
        <v>1149</v>
      </c>
      <c r="B20" s="11">
        <f>'[3]25投资活动现金流量预算'!B20+'[4]26)投资活动现金流量预算'!B20+'[5]26)投资活动现金流量预算'!B20</f>
        <v>158121.87</v>
      </c>
      <c r="C20" s="21">
        <f>'[3]25投资活动现金流量预算'!C20+'[4]26)投资活动现金流量预算'!C20+'[5]26)投资活动现金流量预算'!C20</f>
        <v>26600</v>
      </c>
      <c r="D20" s="11">
        <f t="shared" si="3"/>
        <v>184721.87</v>
      </c>
      <c r="E20" s="11">
        <f t="shared" si="6"/>
        <v>239848</v>
      </c>
      <c r="F20" s="22">
        <f>'6)固定资产及无形资产预算表 '!H12</f>
        <v>183410</v>
      </c>
      <c r="G20" s="22">
        <f>'6)固定资产及无形资产预算表 '!I12</f>
        <v>56438</v>
      </c>
      <c r="H20" s="22">
        <f>'6)固定资产及无形资产预算表 '!J12</f>
        <v>0</v>
      </c>
      <c r="I20" s="22">
        <f>'6)固定资产及无形资产预算表 '!K12</f>
        <v>0</v>
      </c>
      <c r="J20" s="19">
        <f t="shared" si="7"/>
        <v>1.2984277389569518</v>
      </c>
      <c r="K20" s="5"/>
    </row>
    <row r="21" spans="1:11" ht="19.5" customHeight="1">
      <c r="A21" s="10" t="s">
        <v>1150</v>
      </c>
      <c r="B21" s="11">
        <f>'[3]25投资活动现金流量预算'!B21+'[4]26)投资活动现金流量预算'!B21+'[5]26)投资活动现金流量预算'!B21</f>
        <v>133537.42</v>
      </c>
      <c r="C21" s="21">
        <f>'[3]25投资活动现金流量预算'!C21+'[4]26)投资活动现金流量预算'!C21+'[5]26)投资活动现金流量预算'!C21</f>
        <v>27039</v>
      </c>
      <c r="D21" s="11">
        <f t="shared" si="3"/>
        <v>160576.42</v>
      </c>
      <c r="E21" s="11">
        <f t="shared" si="6"/>
        <v>0</v>
      </c>
      <c r="F21" s="22"/>
      <c r="G21" s="22"/>
      <c r="H21" s="22"/>
      <c r="I21" s="22"/>
      <c r="J21" s="19">
        <f t="shared" si="7"/>
        <v>0</v>
      </c>
      <c r="K21" s="5"/>
    </row>
    <row r="22" spans="1:11" ht="19.5" customHeight="1">
      <c r="A22" s="10" t="s">
        <v>1151</v>
      </c>
      <c r="B22" s="11">
        <f>'[3]25投资活动现金流量预算'!B22+'[4]26)投资活动现金流量预算'!B22+'[5]26)投资活动现金流量预算'!B22</f>
        <v>412493</v>
      </c>
      <c r="C22" s="21">
        <f>'[3]25投资活动现金流量预算'!C22+'[4]26)投资活动现金流量预算'!C22+'[5]26)投资活动现金流量预算'!C22</f>
        <v>0</v>
      </c>
      <c r="D22" s="11">
        <f t="shared" si="3"/>
        <v>412493</v>
      </c>
      <c r="E22" s="11">
        <f t="shared" si="6"/>
        <v>0</v>
      </c>
      <c r="F22" s="22"/>
      <c r="G22" s="22"/>
      <c r="H22" s="22"/>
      <c r="I22" s="22"/>
      <c r="J22" s="19">
        <f t="shared" si="7"/>
        <v>0</v>
      </c>
      <c r="K22" s="5"/>
    </row>
    <row r="23" spans="1:11" ht="19.5" customHeight="1">
      <c r="A23" s="10" t="s">
        <v>1152</v>
      </c>
      <c r="B23" s="11"/>
      <c r="C23" s="21"/>
      <c r="D23" s="11">
        <f t="shared" si="3"/>
        <v>0</v>
      </c>
      <c r="E23" s="11">
        <f t="shared" si="6"/>
        <v>0</v>
      </c>
      <c r="F23" s="22">
        <f>'8)权益性投资预算表'!H5</f>
        <v>0</v>
      </c>
      <c r="G23" s="22">
        <f>'8)权益性投资预算表'!I5</f>
        <v>0</v>
      </c>
      <c r="H23" s="22">
        <f>'8)权益性投资预算表'!J5</f>
        <v>0</v>
      </c>
      <c r="I23" s="22">
        <f>'8)权益性投资预算表'!K5</f>
        <v>0</v>
      </c>
      <c r="J23" s="19" t="e">
        <f t="shared" si="7"/>
        <v>#DIV/0!</v>
      </c>
      <c r="K23" s="5"/>
    </row>
    <row r="24" spans="1:11" ht="19.5" customHeight="1">
      <c r="A24" s="10" t="s">
        <v>1153</v>
      </c>
      <c r="B24" s="11"/>
      <c r="C24" s="12"/>
      <c r="D24" s="11">
        <f t="shared" si="3"/>
        <v>0</v>
      </c>
      <c r="E24" s="11">
        <f t="shared" si="6"/>
        <v>0</v>
      </c>
      <c r="F24" s="22"/>
      <c r="G24" s="22"/>
      <c r="H24" s="22"/>
      <c r="I24" s="22"/>
      <c r="J24" s="19" t="e">
        <f t="shared" si="7"/>
        <v>#DIV/0!</v>
      </c>
      <c r="K24" s="5"/>
    </row>
    <row r="25" spans="1:11" ht="19.5" customHeight="1">
      <c r="A25" s="10" t="s">
        <v>1154</v>
      </c>
      <c r="B25" s="11"/>
      <c r="C25" s="12"/>
      <c r="D25" s="11">
        <f t="shared" si="3"/>
        <v>0</v>
      </c>
      <c r="E25" s="11">
        <f t="shared" si="6"/>
        <v>0</v>
      </c>
      <c r="F25" s="22">
        <f>'4)自建地产及经营性投资项目预算表'!H16+'11)合作项目预算表'!J8</f>
        <v>0</v>
      </c>
      <c r="G25" s="22">
        <f>'4)自建地产及经营性投资项目预算表'!I16+'11)合作项目预算表'!K8</f>
        <v>0</v>
      </c>
      <c r="H25" s="22">
        <f>'4)自建地产及经营性投资项目预算表'!J16+'11)合作项目预算表'!L8</f>
        <v>0</v>
      </c>
      <c r="I25" s="22">
        <f>'4)自建地产及经营性投资项目预算表'!K16+'11)合作项目预算表'!M8</f>
        <v>0</v>
      </c>
      <c r="J25" s="19" t="e">
        <f t="shared" si="7"/>
        <v>#DIV/0!</v>
      </c>
      <c r="K25" s="5"/>
    </row>
    <row r="26" spans="1:11" ht="19.5" customHeight="1">
      <c r="A26" s="2"/>
      <c r="B26" s="16"/>
      <c r="C26" s="4" t="s">
        <v>340</v>
      </c>
      <c r="D26" s="5"/>
      <c r="E26" s="5"/>
      <c r="F26" s="16"/>
      <c r="G26" s="17" t="s">
        <v>380</v>
      </c>
      <c r="H26" s="5"/>
      <c r="I26" s="5"/>
      <c r="J26" s="5"/>
      <c r="K26" s="5"/>
    </row>
  </sheetData>
  <sheetProtection/>
  <mergeCells count="7">
    <mergeCell ref="A1:K1"/>
    <mergeCell ref="B2:D2"/>
    <mergeCell ref="B3:D3"/>
    <mergeCell ref="E3:I3"/>
    <mergeCell ref="A3:A4"/>
    <mergeCell ref="J3:J4"/>
    <mergeCell ref="K3:K4"/>
  </mergeCells>
  <printOptions/>
  <pageMargins left="0.75" right="0.75" top="1" bottom="1" header="0.5" footer="0.5"/>
  <pageSetup fitToHeight="1" fitToWidth="1" horizontalDpi="300" verticalDpi="300" orientation="landscape" paperSize="9" scale="61"/>
</worksheet>
</file>

<file path=xl/worksheets/sheet43.xml><?xml version="1.0" encoding="utf-8"?>
<worksheet xmlns="http://schemas.openxmlformats.org/spreadsheetml/2006/main" xmlns:r="http://schemas.openxmlformats.org/officeDocument/2006/relationships">
  <sheetPr>
    <pageSetUpPr fitToPage="1"/>
  </sheetPr>
  <dimension ref="A1:K14"/>
  <sheetViews>
    <sheetView workbookViewId="0" topLeftCell="A1">
      <selection activeCell="F19" sqref="F19"/>
    </sheetView>
  </sheetViews>
  <sheetFormatPr defaultColWidth="9.140625" defaultRowHeight="12.75"/>
  <cols>
    <col min="1" max="1" width="46.421875" style="0" customWidth="1"/>
    <col min="2" max="9" width="16.7109375" style="0" customWidth="1"/>
    <col min="10" max="11" width="14.00390625" style="0" customWidth="1"/>
  </cols>
  <sheetData>
    <row r="1" spans="1:11" ht="24" customHeight="1">
      <c r="A1" s="1" t="s">
        <v>1155</v>
      </c>
      <c r="B1" s="1" t="s">
        <v>1155</v>
      </c>
      <c r="C1" s="1" t="s">
        <v>1155</v>
      </c>
      <c r="D1" s="1" t="s">
        <v>1155</v>
      </c>
      <c r="E1" s="1" t="s">
        <v>1155</v>
      </c>
      <c r="F1" s="1" t="s">
        <v>1155</v>
      </c>
      <c r="G1" s="1" t="s">
        <v>1155</v>
      </c>
      <c r="H1" s="1" t="s">
        <v>1155</v>
      </c>
      <c r="I1" s="1" t="s">
        <v>1155</v>
      </c>
      <c r="J1" s="1" t="s">
        <v>1155</v>
      </c>
      <c r="K1" s="1" t="s">
        <v>1155</v>
      </c>
    </row>
    <row r="2" spans="1:11" ht="18" customHeight="1">
      <c r="A2" s="2" t="s">
        <v>287</v>
      </c>
      <c r="B2" s="3"/>
      <c r="C2" s="3"/>
      <c r="D2" s="3"/>
      <c r="E2" s="4" t="s">
        <v>288</v>
      </c>
      <c r="F2" s="5"/>
      <c r="G2" s="5"/>
      <c r="H2" s="5"/>
      <c r="I2" s="5"/>
      <c r="J2" s="16" t="s">
        <v>1</v>
      </c>
      <c r="K2" s="5"/>
    </row>
    <row r="3" spans="1:11" ht="18" customHeight="1">
      <c r="A3" s="6" t="s">
        <v>290</v>
      </c>
      <c r="B3" s="7" t="s">
        <v>366</v>
      </c>
      <c r="C3" s="7"/>
      <c r="D3" s="8"/>
      <c r="E3" s="9" t="s">
        <v>292</v>
      </c>
      <c r="F3" s="9" t="s">
        <v>292</v>
      </c>
      <c r="G3" s="9" t="s">
        <v>292</v>
      </c>
      <c r="H3" s="9" t="s">
        <v>292</v>
      </c>
      <c r="I3" s="9" t="s">
        <v>292</v>
      </c>
      <c r="J3" s="9" t="s">
        <v>293</v>
      </c>
      <c r="K3" s="18" t="s">
        <v>33</v>
      </c>
    </row>
    <row r="4" spans="1:11" ht="18" customHeight="1">
      <c r="A4" s="6" t="s">
        <v>290</v>
      </c>
      <c r="B4" s="9" t="s">
        <v>295</v>
      </c>
      <c r="C4" s="9" t="s">
        <v>296</v>
      </c>
      <c r="D4" s="9" t="s">
        <v>464</v>
      </c>
      <c r="E4" s="9" t="s">
        <v>314</v>
      </c>
      <c r="F4" s="9" t="s">
        <v>324</v>
      </c>
      <c r="G4" s="9" t="s">
        <v>331</v>
      </c>
      <c r="H4" s="9" t="s">
        <v>334</v>
      </c>
      <c r="I4" s="9" t="s">
        <v>336</v>
      </c>
      <c r="J4" s="9" t="s">
        <v>293</v>
      </c>
      <c r="K4" s="18" t="s">
        <v>33</v>
      </c>
    </row>
    <row r="5" spans="1:11" ht="19.5" customHeight="1">
      <c r="A5" s="10" t="s">
        <v>1156</v>
      </c>
      <c r="B5" s="11">
        <f>B6-B10</f>
        <v>-371400</v>
      </c>
      <c r="C5" s="11">
        <f aca="true" t="shared" si="0" ref="C5:I5">C6-C10</f>
        <v>0</v>
      </c>
      <c r="D5" s="11">
        <f t="shared" si="0"/>
        <v>-371400</v>
      </c>
      <c r="E5" s="11">
        <f t="shared" si="0"/>
        <v>-134532.69056</v>
      </c>
      <c r="F5" s="11">
        <f t="shared" si="0"/>
        <v>-134532.69056</v>
      </c>
      <c r="G5" s="11">
        <f t="shared" si="0"/>
        <v>0</v>
      </c>
      <c r="H5" s="11">
        <f t="shared" si="0"/>
        <v>0</v>
      </c>
      <c r="I5" s="11">
        <f t="shared" si="0"/>
        <v>0</v>
      </c>
      <c r="J5" s="19">
        <f>E5/D5</f>
        <v>0.3622312616047388</v>
      </c>
      <c r="K5" s="5"/>
    </row>
    <row r="6" spans="1:11" ht="19.5" customHeight="1">
      <c r="A6" s="10" t="s">
        <v>1157</v>
      </c>
      <c r="B6" s="11">
        <f>SUM(B7:B9)</f>
        <v>0</v>
      </c>
      <c r="C6" s="11">
        <f aca="true" t="shared" si="1" ref="C6:I6">SUM(C7:C9)</f>
        <v>0</v>
      </c>
      <c r="D6" s="11">
        <f t="shared" si="1"/>
        <v>0</v>
      </c>
      <c r="E6" s="11">
        <f t="shared" si="1"/>
        <v>0</v>
      </c>
      <c r="F6" s="11">
        <f t="shared" si="1"/>
        <v>0</v>
      </c>
      <c r="G6" s="11">
        <f t="shared" si="1"/>
        <v>0</v>
      </c>
      <c r="H6" s="11">
        <f t="shared" si="1"/>
        <v>0</v>
      </c>
      <c r="I6" s="11">
        <f t="shared" si="1"/>
        <v>0</v>
      </c>
      <c r="J6" s="19" t="e">
        <f aca="true" t="shared" si="2" ref="J6:J13">E6/D6</f>
        <v>#DIV/0!</v>
      </c>
      <c r="K6" s="5"/>
    </row>
    <row r="7" spans="1:11" ht="19.5" customHeight="1">
      <c r="A7" s="10" t="s">
        <v>1158</v>
      </c>
      <c r="B7" s="11"/>
      <c r="C7" s="12"/>
      <c r="D7" s="11">
        <f>B7+C7</f>
        <v>0</v>
      </c>
      <c r="E7" s="11">
        <f>SUM(F7:I7)</f>
        <v>0</v>
      </c>
      <c r="F7" s="13"/>
      <c r="G7" s="13"/>
      <c r="H7" s="14">
        <v>0</v>
      </c>
      <c r="I7" s="13"/>
      <c r="J7" s="19" t="e">
        <f t="shared" si="2"/>
        <v>#DIV/0!</v>
      </c>
      <c r="K7" s="5"/>
    </row>
    <row r="8" spans="1:11" ht="19.5" customHeight="1">
      <c r="A8" s="10" t="s">
        <v>1159</v>
      </c>
      <c r="B8" s="15"/>
      <c r="C8" s="12"/>
      <c r="D8" s="11">
        <f aca="true" t="shared" si="3" ref="D8:D13">B8+C8</f>
        <v>0</v>
      </c>
      <c r="E8" s="11">
        <f aca="true" t="shared" si="4" ref="E8:E13">SUM(F8:I8)</f>
        <v>0</v>
      </c>
      <c r="F8" s="13"/>
      <c r="G8" s="13"/>
      <c r="H8" s="13"/>
      <c r="I8" s="13"/>
      <c r="J8" s="19" t="e">
        <f t="shared" si="2"/>
        <v>#DIV/0!</v>
      </c>
      <c r="K8" s="5"/>
    </row>
    <row r="9" spans="1:11" ht="19.5" customHeight="1">
      <c r="A9" s="10" t="s">
        <v>1160</v>
      </c>
      <c r="B9" s="15"/>
      <c r="C9" s="12"/>
      <c r="D9" s="11">
        <f t="shared" si="3"/>
        <v>0</v>
      </c>
      <c r="E9" s="11">
        <f t="shared" si="4"/>
        <v>0</v>
      </c>
      <c r="F9" s="13"/>
      <c r="G9" s="13"/>
      <c r="H9" s="13"/>
      <c r="I9" s="13"/>
      <c r="J9" s="19" t="e">
        <f t="shared" si="2"/>
        <v>#DIV/0!</v>
      </c>
      <c r="K9" s="5"/>
    </row>
    <row r="10" spans="1:11" ht="19.5" customHeight="1">
      <c r="A10" s="10" t="s">
        <v>1161</v>
      </c>
      <c r="B10" s="11">
        <f>SUM(B11:B13)</f>
        <v>371400</v>
      </c>
      <c r="C10" s="11">
        <f aca="true" t="shared" si="5" ref="C10:I10">SUM(C11:C13)</f>
        <v>0</v>
      </c>
      <c r="D10" s="11">
        <f t="shared" si="5"/>
        <v>371400</v>
      </c>
      <c r="E10" s="11">
        <f t="shared" si="5"/>
        <v>134532.69056</v>
      </c>
      <c r="F10" s="11">
        <f t="shared" si="5"/>
        <v>134532.69056</v>
      </c>
      <c r="G10" s="11">
        <f t="shared" si="5"/>
        <v>0</v>
      </c>
      <c r="H10" s="11">
        <f t="shared" si="5"/>
        <v>0</v>
      </c>
      <c r="I10" s="11">
        <f t="shared" si="5"/>
        <v>0</v>
      </c>
      <c r="J10" s="19">
        <f t="shared" si="2"/>
        <v>0.3622312616047388</v>
      </c>
      <c r="K10" s="5"/>
    </row>
    <row r="11" spans="1:11" ht="19.5" customHeight="1">
      <c r="A11" s="10" t="s">
        <v>1162</v>
      </c>
      <c r="B11" s="15"/>
      <c r="C11" s="12"/>
      <c r="D11" s="11">
        <f t="shared" si="3"/>
        <v>0</v>
      </c>
      <c r="E11" s="11">
        <f t="shared" si="4"/>
        <v>0</v>
      </c>
      <c r="F11" s="13"/>
      <c r="G11" s="13"/>
      <c r="H11" s="13"/>
      <c r="I11" s="13"/>
      <c r="J11" s="19" t="e">
        <f t="shared" si="2"/>
        <v>#DIV/0!</v>
      </c>
      <c r="K11" s="5"/>
    </row>
    <row r="12" spans="1:11" ht="19.5" customHeight="1">
      <c r="A12" s="10" t="s">
        <v>1163</v>
      </c>
      <c r="B12" s="11">
        <v>371400</v>
      </c>
      <c r="C12" s="12">
        <v>0</v>
      </c>
      <c r="D12" s="11">
        <f t="shared" si="3"/>
        <v>371400</v>
      </c>
      <c r="E12" s="11">
        <f t="shared" si="4"/>
        <v>134532.69056</v>
      </c>
      <c r="F12" s="14">
        <f>'22)利润预算表'!E29</f>
        <v>134532.69056</v>
      </c>
      <c r="G12" s="13"/>
      <c r="H12" s="13"/>
      <c r="I12" s="13"/>
      <c r="J12" s="19">
        <f t="shared" si="2"/>
        <v>0.3622312616047388</v>
      </c>
      <c r="K12" s="5"/>
    </row>
    <row r="13" spans="1:11" ht="19.5" customHeight="1">
      <c r="A13" s="10" t="s">
        <v>1164</v>
      </c>
      <c r="B13" s="15"/>
      <c r="C13" s="12"/>
      <c r="D13" s="11">
        <f t="shared" si="3"/>
        <v>0</v>
      </c>
      <c r="E13" s="11">
        <f t="shared" si="4"/>
        <v>0</v>
      </c>
      <c r="F13" s="13"/>
      <c r="G13" s="13"/>
      <c r="H13" s="13"/>
      <c r="I13" s="13"/>
      <c r="J13" s="19" t="e">
        <f t="shared" si="2"/>
        <v>#DIV/0!</v>
      </c>
      <c r="K13" s="5"/>
    </row>
    <row r="14" spans="1:11" ht="19.5" customHeight="1">
      <c r="A14" s="2"/>
      <c r="B14" s="16"/>
      <c r="C14" s="4" t="s">
        <v>340</v>
      </c>
      <c r="D14" s="5"/>
      <c r="E14" s="16"/>
      <c r="F14" s="16"/>
      <c r="G14" s="17" t="s">
        <v>380</v>
      </c>
      <c r="H14" s="5"/>
      <c r="I14" s="5"/>
      <c r="J14" s="5"/>
      <c r="K14" s="5"/>
    </row>
  </sheetData>
  <sheetProtection/>
  <mergeCells count="7">
    <mergeCell ref="A1:K1"/>
    <mergeCell ref="B2:D2"/>
    <mergeCell ref="B3:D3"/>
    <mergeCell ref="E3:I3"/>
    <mergeCell ref="A3:A4"/>
    <mergeCell ref="J3:J4"/>
    <mergeCell ref="K3:K4"/>
  </mergeCells>
  <printOptions/>
  <pageMargins left="0.75" right="0.75" top="1" bottom="1" header="0.5" footer="0.5"/>
  <pageSetup fitToHeight="1" fitToWidth="1" horizontalDpi="300" verticalDpi="300" orientation="landscape" paperSize="9" scale="63"/>
</worksheet>
</file>

<file path=xl/worksheets/sheet5.xml><?xml version="1.0" encoding="utf-8"?>
<worksheet xmlns="http://schemas.openxmlformats.org/spreadsheetml/2006/main" xmlns:r="http://schemas.openxmlformats.org/officeDocument/2006/relationships">
  <sheetPr>
    <pageSetUpPr fitToPage="1"/>
  </sheetPr>
  <dimension ref="A1:N71"/>
  <sheetViews>
    <sheetView workbookViewId="0" topLeftCell="A1">
      <selection activeCell="G57" sqref="G57"/>
    </sheetView>
  </sheetViews>
  <sheetFormatPr defaultColWidth="9.140625" defaultRowHeight="12.75"/>
  <cols>
    <col min="1" max="1" width="28.57421875" style="180" customWidth="1"/>
    <col min="2" max="2" width="16.7109375" style="181" customWidth="1"/>
    <col min="3" max="13" width="16.7109375" style="180" customWidth="1"/>
    <col min="14" max="14" width="14.00390625" style="180" customWidth="1"/>
    <col min="15" max="16384" width="9.140625" style="180" customWidth="1"/>
  </cols>
  <sheetData>
    <row r="1" spans="1:14" ht="29.25" customHeight="1">
      <c r="A1" s="140" t="s">
        <v>390</v>
      </c>
      <c r="B1" s="140" t="s">
        <v>391</v>
      </c>
      <c r="C1" s="140" t="s">
        <v>391</v>
      </c>
      <c r="D1" s="140" t="s">
        <v>391</v>
      </c>
      <c r="E1" s="140" t="s">
        <v>391</v>
      </c>
      <c r="F1" s="140" t="s">
        <v>391</v>
      </c>
      <c r="G1" s="140" t="s">
        <v>391</v>
      </c>
      <c r="H1" s="140" t="s">
        <v>391</v>
      </c>
      <c r="I1" s="140" t="s">
        <v>391</v>
      </c>
      <c r="J1" s="140" t="s">
        <v>391</v>
      </c>
      <c r="K1" s="140"/>
      <c r="L1" s="140"/>
      <c r="M1" s="140"/>
      <c r="N1" s="140" t="s">
        <v>391</v>
      </c>
    </row>
    <row r="2" spans="1:14" ht="18" customHeight="1">
      <c r="A2" s="157" t="s">
        <v>287</v>
      </c>
      <c r="B2" s="182"/>
      <c r="C2" s="183"/>
      <c r="D2" s="184"/>
      <c r="E2" s="157"/>
      <c r="F2" s="157"/>
      <c r="G2" s="157"/>
      <c r="H2" s="157"/>
      <c r="I2" s="196" t="s">
        <v>288</v>
      </c>
      <c r="K2" s="163"/>
      <c r="L2" s="163"/>
      <c r="M2" s="163" t="s">
        <v>1</v>
      </c>
      <c r="N2" s="157"/>
    </row>
    <row r="3" spans="1:14" ht="18" customHeight="1">
      <c r="A3" s="123" t="s">
        <v>290</v>
      </c>
      <c r="B3" s="185" t="str">
        <f>'[5]5)自建代建项目开发成本预算表（年）'!B3</f>
        <v>仟亩常年蔬菜大棚</v>
      </c>
      <c r="C3" s="186"/>
      <c r="D3" s="187"/>
      <c r="E3" s="185" t="s">
        <v>392</v>
      </c>
      <c r="F3" s="186"/>
      <c r="G3" s="187"/>
      <c r="H3" s="185" t="s">
        <v>393</v>
      </c>
      <c r="I3" s="186"/>
      <c r="J3" s="187"/>
      <c r="K3" s="185" t="s">
        <v>394</v>
      </c>
      <c r="L3" s="186"/>
      <c r="M3" s="187"/>
      <c r="N3" s="123" t="s">
        <v>33</v>
      </c>
    </row>
    <row r="4" spans="1:14" ht="18" customHeight="1">
      <c r="A4" s="123" t="s">
        <v>290</v>
      </c>
      <c r="B4" s="188" t="s">
        <v>387</v>
      </c>
      <c r="C4" s="188" t="s">
        <v>388</v>
      </c>
      <c r="D4" s="150" t="s">
        <v>395</v>
      </c>
      <c r="E4" s="188" t="s">
        <v>387</v>
      </c>
      <c r="F4" s="188" t="s">
        <v>388</v>
      </c>
      <c r="G4" s="150" t="s">
        <v>395</v>
      </c>
      <c r="H4" s="188" t="s">
        <v>387</v>
      </c>
      <c r="I4" s="188" t="s">
        <v>388</v>
      </c>
      <c r="J4" s="150" t="s">
        <v>395</v>
      </c>
      <c r="K4" s="188" t="s">
        <v>387</v>
      </c>
      <c r="L4" s="188" t="s">
        <v>388</v>
      </c>
      <c r="M4" s="150" t="s">
        <v>395</v>
      </c>
      <c r="N4" s="123" t="s">
        <v>33</v>
      </c>
    </row>
    <row r="5" spans="1:14" ht="18" customHeight="1">
      <c r="A5" s="150" t="s">
        <v>396</v>
      </c>
      <c r="B5" s="189" t="str">
        <f>'[5]5)自建代建项目开发成本预算表（年）'!C5</f>
        <v>1000亩大棚</v>
      </c>
      <c r="C5" s="190"/>
      <c r="D5" s="191"/>
      <c r="E5" s="189"/>
      <c r="F5" s="190"/>
      <c r="G5" s="191"/>
      <c r="H5" s="189"/>
      <c r="I5" s="190"/>
      <c r="J5" s="191"/>
      <c r="K5" s="189"/>
      <c r="L5" s="190"/>
      <c r="M5" s="191"/>
      <c r="N5" s="195"/>
    </row>
    <row r="6" spans="1:14" ht="18" customHeight="1">
      <c r="A6" s="150" t="s">
        <v>397</v>
      </c>
      <c r="B6" s="189">
        <f>'[5]5)自建代建项目开发成本预算表（年）'!B6</f>
        <v>68466200</v>
      </c>
      <c r="C6" s="190"/>
      <c r="D6" s="191"/>
      <c r="E6" s="192"/>
      <c r="F6" s="193"/>
      <c r="G6" s="193"/>
      <c r="H6" s="192"/>
      <c r="I6" s="193"/>
      <c r="J6" s="193"/>
      <c r="K6" s="192"/>
      <c r="L6" s="193"/>
      <c r="M6" s="193"/>
      <c r="N6" s="195"/>
    </row>
    <row r="7" spans="1:14" ht="18" customHeight="1">
      <c r="A7" s="150" t="s">
        <v>398</v>
      </c>
      <c r="B7" s="152">
        <f aca="true" t="shared" si="0" ref="B7:G7">B8+B13+B41+B49+B58+B65</f>
        <v>3773623.98</v>
      </c>
      <c r="C7" s="152">
        <f t="shared" si="0"/>
        <v>3489555.31</v>
      </c>
      <c r="D7" s="152">
        <f t="shared" si="0"/>
        <v>68466200</v>
      </c>
      <c r="E7" s="152">
        <f t="shared" si="0"/>
        <v>0</v>
      </c>
      <c r="F7" s="152">
        <f t="shared" si="0"/>
        <v>0</v>
      </c>
      <c r="G7" s="152">
        <f t="shared" si="0"/>
        <v>0</v>
      </c>
      <c r="H7" s="152">
        <f aca="true" t="shared" si="1" ref="H7:S7">H8+H13+H41+H49+H58+H65</f>
        <v>0</v>
      </c>
      <c r="I7" s="152">
        <f t="shared" si="1"/>
        <v>0</v>
      </c>
      <c r="J7" s="152">
        <f t="shared" si="1"/>
        <v>0</v>
      </c>
      <c r="K7" s="152">
        <f t="shared" si="1"/>
        <v>0</v>
      </c>
      <c r="L7" s="152">
        <f t="shared" si="1"/>
        <v>0</v>
      </c>
      <c r="M7" s="152">
        <f t="shared" si="1"/>
        <v>0</v>
      </c>
      <c r="N7" s="195"/>
    </row>
    <row r="8" spans="1:14" ht="18" customHeight="1">
      <c r="A8" s="151" t="s">
        <v>399</v>
      </c>
      <c r="B8" s="152">
        <f aca="true" t="shared" si="2" ref="B8:G8">SUM(B9:B12)</f>
        <v>0</v>
      </c>
      <c r="C8" s="152">
        <f t="shared" si="2"/>
        <v>0</v>
      </c>
      <c r="D8" s="152">
        <f t="shared" si="2"/>
        <v>600000</v>
      </c>
      <c r="E8" s="152">
        <f t="shared" si="2"/>
        <v>0</v>
      </c>
      <c r="F8" s="152">
        <f t="shared" si="2"/>
        <v>0</v>
      </c>
      <c r="G8" s="152">
        <f t="shared" si="2"/>
        <v>0</v>
      </c>
      <c r="H8" s="152">
        <f aca="true" t="shared" si="3" ref="H8:S8">SUM(H9:H12)</f>
        <v>0</v>
      </c>
      <c r="I8" s="152">
        <f t="shared" si="3"/>
        <v>0</v>
      </c>
      <c r="J8" s="152">
        <f t="shared" si="3"/>
        <v>0</v>
      </c>
      <c r="K8" s="152">
        <f t="shared" si="3"/>
        <v>0</v>
      </c>
      <c r="L8" s="152">
        <f t="shared" si="3"/>
        <v>0</v>
      </c>
      <c r="M8" s="152">
        <f t="shared" si="3"/>
        <v>0</v>
      </c>
      <c r="N8" s="195"/>
    </row>
    <row r="9" spans="1:14" ht="18" customHeight="1">
      <c r="A9" s="151" t="s">
        <v>400</v>
      </c>
      <c r="B9" s="126">
        <f>'[5]5)自建代建项目开发成本预算表（年）'!B9</f>
        <v>0</v>
      </c>
      <c r="C9" s="126">
        <f>'[5]5)自建代建项目开发成本预算表（年）'!C9</f>
        <v>0</v>
      </c>
      <c r="D9" s="126">
        <f>'[5]5)自建代建项目开发成本预算表（年）'!D9</f>
        <v>0</v>
      </c>
      <c r="E9" s="126"/>
      <c r="F9" s="126"/>
      <c r="G9" s="126"/>
      <c r="H9" s="126"/>
      <c r="I9" s="126"/>
      <c r="J9" s="126"/>
      <c r="K9" s="126"/>
      <c r="L9" s="126"/>
      <c r="M9" s="126"/>
      <c r="N9" s="195"/>
    </row>
    <row r="10" spans="1:14" ht="18" customHeight="1">
      <c r="A10" s="151" t="s">
        <v>401</v>
      </c>
      <c r="B10" s="126">
        <f>'[5]5)自建代建项目开发成本预算表（年）'!B10</f>
        <v>0</v>
      </c>
      <c r="C10" s="126">
        <f>'[5]5)自建代建项目开发成本预算表（年）'!C10</f>
        <v>0</v>
      </c>
      <c r="D10" s="126">
        <f>'[5]5)自建代建项目开发成本预算表（年）'!D10</f>
        <v>0</v>
      </c>
      <c r="E10" s="126"/>
      <c r="F10" s="126"/>
      <c r="G10" s="126"/>
      <c r="H10" s="126"/>
      <c r="I10" s="126"/>
      <c r="J10" s="126"/>
      <c r="K10" s="126"/>
      <c r="L10" s="126"/>
      <c r="M10" s="126"/>
      <c r="N10" s="195"/>
    </row>
    <row r="11" spans="1:14" ht="18" customHeight="1" hidden="1">
      <c r="A11" s="151" t="s">
        <v>402</v>
      </c>
      <c r="B11" s="126">
        <f>'[5]5)自建代建项目开发成本预算表（年）'!B11</f>
        <v>0</v>
      </c>
      <c r="C11" s="126">
        <f>'[5]5)自建代建项目开发成本预算表（年）'!C11</f>
        <v>0</v>
      </c>
      <c r="D11" s="126">
        <f>'[5]5)自建代建项目开发成本预算表（年）'!D11</f>
        <v>0</v>
      </c>
      <c r="E11" s="126"/>
      <c r="F11" s="126"/>
      <c r="G11" s="126"/>
      <c r="H11" s="126"/>
      <c r="I11" s="126"/>
      <c r="J11" s="126"/>
      <c r="K11" s="126"/>
      <c r="L11" s="126"/>
      <c r="M11" s="126"/>
      <c r="N11" s="195"/>
    </row>
    <row r="12" spans="1:14" ht="18" customHeight="1">
      <c r="A12" s="151" t="s">
        <v>403</v>
      </c>
      <c r="B12" s="126">
        <f>'[5]5)自建代建项目开发成本预算表（年）'!B12</f>
        <v>0</v>
      </c>
      <c r="C12" s="126">
        <f>'[5]5)自建代建项目开发成本预算表（年）'!C12</f>
        <v>0</v>
      </c>
      <c r="D12" s="126">
        <f>'[5]5)自建代建项目开发成本预算表（年）'!D12</f>
        <v>600000</v>
      </c>
      <c r="E12" s="126"/>
      <c r="F12" s="126"/>
      <c r="G12" s="126"/>
      <c r="H12" s="126"/>
      <c r="I12" s="126"/>
      <c r="J12" s="126"/>
      <c r="K12" s="126"/>
      <c r="L12" s="126"/>
      <c r="M12" s="126"/>
      <c r="N12" s="195"/>
    </row>
    <row r="13" spans="1:14" ht="18" customHeight="1">
      <c r="A13" s="151" t="s">
        <v>404</v>
      </c>
      <c r="B13" s="152">
        <f aca="true" t="shared" si="4" ref="B13:G13">SUM(B14:B40)</f>
        <v>230281</v>
      </c>
      <c r="C13" s="152">
        <f t="shared" si="4"/>
        <v>0</v>
      </c>
      <c r="D13" s="152">
        <f t="shared" si="4"/>
        <v>5856800</v>
      </c>
      <c r="E13" s="152">
        <f t="shared" si="4"/>
        <v>0</v>
      </c>
      <c r="F13" s="152">
        <f t="shared" si="4"/>
        <v>0</v>
      </c>
      <c r="G13" s="152">
        <f t="shared" si="4"/>
        <v>0</v>
      </c>
      <c r="H13" s="152">
        <f aca="true" t="shared" si="5" ref="H13:P13">SUM(H14:H40)</f>
        <v>0</v>
      </c>
      <c r="I13" s="152">
        <f t="shared" si="5"/>
        <v>0</v>
      </c>
      <c r="J13" s="152">
        <f t="shared" si="5"/>
        <v>0</v>
      </c>
      <c r="K13" s="152">
        <f t="shared" si="5"/>
        <v>0</v>
      </c>
      <c r="L13" s="152">
        <f t="shared" si="5"/>
        <v>0</v>
      </c>
      <c r="M13" s="152">
        <f t="shared" si="5"/>
        <v>0</v>
      </c>
      <c r="N13" s="195"/>
    </row>
    <row r="14" spans="1:14" ht="18" customHeight="1">
      <c r="A14" s="151" t="s">
        <v>405</v>
      </c>
      <c r="B14" s="126">
        <f>'[5]5)自建代建项目开发成本预算表（年）'!B14</f>
        <v>20000</v>
      </c>
      <c r="C14" s="126">
        <f>'[5]5)自建代建项目开发成本预算表（年）'!C14</f>
        <v>0</v>
      </c>
      <c r="D14" s="126">
        <f>'[5]5)自建代建项目开发成本预算表（年）'!D14</f>
        <v>1704300</v>
      </c>
      <c r="E14" s="126"/>
      <c r="F14" s="126"/>
      <c r="G14" s="126"/>
      <c r="H14" s="126"/>
      <c r="I14" s="126"/>
      <c r="J14" s="126"/>
      <c r="K14" s="126"/>
      <c r="L14" s="126"/>
      <c r="M14" s="126"/>
      <c r="N14" s="126"/>
    </row>
    <row r="15" spans="1:14" ht="18" customHeight="1">
      <c r="A15" s="151" t="s">
        <v>406</v>
      </c>
      <c r="B15" s="126">
        <f>'[5]5)自建代建项目开发成本预算表（年）'!B15</f>
        <v>2373</v>
      </c>
      <c r="C15" s="126">
        <f>'[5]5)自建代建项目开发成本预算表（年）'!C15</f>
        <v>0</v>
      </c>
      <c r="D15" s="126">
        <f>'[5]5)自建代建项目开发成本预算表（年）'!D15</f>
        <v>94000</v>
      </c>
      <c r="E15" s="126"/>
      <c r="F15" s="126"/>
      <c r="G15" s="126"/>
      <c r="H15" s="126"/>
      <c r="I15" s="126"/>
      <c r="J15" s="126"/>
      <c r="K15" s="126"/>
      <c r="L15" s="126"/>
      <c r="M15" s="126"/>
      <c r="N15" s="126"/>
    </row>
    <row r="16" spans="1:14" ht="18" customHeight="1">
      <c r="A16" s="151" t="s">
        <v>407</v>
      </c>
      <c r="B16" s="126">
        <f>'[5]5)自建代建项目开发成本预算表（年）'!B16</f>
        <v>0</v>
      </c>
      <c r="C16" s="126">
        <f>'[5]5)自建代建项目开发成本预算表（年）'!C16</f>
        <v>0</v>
      </c>
      <c r="D16" s="126">
        <f>'[5]5)自建代建项目开发成本预算表（年）'!D16</f>
        <v>0</v>
      </c>
      <c r="E16" s="126"/>
      <c r="F16" s="126"/>
      <c r="G16" s="126"/>
      <c r="H16" s="126"/>
      <c r="I16" s="126"/>
      <c r="J16" s="126"/>
      <c r="K16" s="126"/>
      <c r="L16" s="126"/>
      <c r="M16" s="126"/>
      <c r="N16" s="126"/>
    </row>
    <row r="17" spans="1:14" ht="18" customHeight="1">
      <c r="A17" s="151" t="s">
        <v>408</v>
      </c>
      <c r="B17" s="126">
        <f>'[5]5)自建代建项目开发成本预算表（年）'!B17</f>
        <v>28710</v>
      </c>
      <c r="C17" s="126">
        <f>'[5]5)自建代建项目开发成本预算表（年）'!C17</f>
        <v>0</v>
      </c>
      <c r="D17" s="126">
        <f>'[5]5)自建代建项目开发成本预算表（年）'!D17</f>
        <v>78600</v>
      </c>
      <c r="E17" s="126"/>
      <c r="F17" s="126"/>
      <c r="G17" s="126"/>
      <c r="H17" s="126"/>
      <c r="I17" s="126"/>
      <c r="J17" s="126"/>
      <c r="K17" s="126"/>
      <c r="L17" s="126"/>
      <c r="M17" s="126"/>
      <c r="N17" s="126"/>
    </row>
    <row r="18" spans="1:14" ht="18" customHeight="1">
      <c r="A18" s="151" t="s">
        <v>409</v>
      </c>
      <c r="B18" s="126">
        <f>'[5]5)自建代建项目开发成本预算表（年）'!B18</f>
        <v>0</v>
      </c>
      <c r="C18" s="126">
        <f>'[5]5)自建代建项目开发成本预算表（年）'!C18</f>
        <v>0</v>
      </c>
      <c r="D18" s="126">
        <f>'[5]5)自建代建项目开发成本预算表（年）'!D18</f>
        <v>0</v>
      </c>
      <c r="E18" s="126"/>
      <c r="F18" s="126"/>
      <c r="G18" s="126"/>
      <c r="H18" s="126"/>
      <c r="I18" s="126"/>
      <c r="J18" s="126"/>
      <c r="K18" s="126"/>
      <c r="L18" s="126"/>
      <c r="M18" s="126"/>
      <c r="N18" s="126"/>
    </row>
    <row r="19" spans="1:14" ht="18" customHeight="1">
      <c r="A19" s="151" t="s">
        <v>410</v>
      </c>
      <c r="B19" s="126">
        <f>'[5]5)自建代建项目开发成本预算表（年）'!B19</f>
        <v>0</v>
      </c>
      <c r="C19" s="126">
        <f>'[5]5)自建代建项目开发成本预算表（年）'!C19</f>
        <v>0</v>
      </c>
      <c r="D19" s="126">
        <f>'[5]5)自建代建项目开发成本预算表（年）'!D19</f>
        <v>30000</v>
      </c>
      <c r="E19" s="126"/>
      <c r="F19" s="126"/>
      <c r="G19" s="126"/>
      <c r="H19" s="126"/>
      <c r="I19" s="126"/>
      <c r="J19" s="126"/>
      <c r="K19" s="126"/>
      <c r="L19" s="126"/>
      <c r="M19" s="126"/>
      <c r="N19" s="126"/>
    </row>
    <row r="20" spans="1:14" ht="18" customHeight="1">
      <c r="A20" s="151" t="s">
        <v>411</v>
      </c>
      <c r="B20" s="126">
        <f>'[5]5)自建代建项目开发成本预算表（年）'!B20</f>
        <v>100000</v>
      </c>
      <c r="C20" s="126">
        <f>'[5]5)自建代建项目开发成本预算表（年）'!C20</f>
        <v>0</v>
      </c>
      <c r="D20" s="126">
        <f>'[5]5)自建代建项目开发成本预算表（年）'!D20</f>
        <v>191200</v>
      </c>
      <c r="E20" s="126"/>
      <c r="F20" s="126"/>
      <c r="G20" s="126"/>
      <c r="H20" s="126"/>
      <c r="I20" s="126"/>
      <c r="J20" s="126"/>
      <c r="K20" s="126"/>
      <c r="L20" s="126"/>
      <c r="M20" s="126"/>
      <c r="N20" s="126"/>
    </row>
    <row r="21" spans="1:14" ht="18" customHeight="1">
      <c r="A21" s="151" t="s">
        <v>412</v>
      </c>
      <c r="B21" s="126">
        <f>'[5]5)自建代建项目开发成本预算表（年）'!B21</f>
        <v>0</v>
      </c>
      <c r="C21" s="126">
        <f>'[5]5)自建代建项目开发成本预算表（年）'!C21</f>
        <v>0</v>
      </c>
      <c r="D21" s="126">
        <f>'[5]5)自建代建项目开发成本预算表（年）'!D21</f>
        <v>0</v>
      </c>
      <c r="E21" s="126"/>
      <c r="F21" s="126"/>
      <c r="G21" s="126"/>
      <c r="H21" s="126"/>
      <c r="I21" s="126"/>
      <c r="J21" s="126"/>
      <c r="K21" s="126"/>
      <c r="L21" s="126"/>
      <c r="M21" s="126"/>
      <c r="N21" s="126"/>
    </row>
    <row r="22" spans="1:14" ht="18" customHeight="1">
      <c r="A22" s="151" t="s">
        <v>413</v>
      </c>
      <c r="B22" s="126">
        <f>'[5]5)自建代建项目开发成本预算表（年）'!B22</f>
        <v>1000</v>
      </c>
      <c r="C22" s="126">
        <f>'[5]5)自建代建项目开发成本预算表（年）'!C22</f>
        <v>0</v>
      </c>
      <c r="D22" s="126">
        <f>'[5]5)自建代建项目开发成本预算表（年）'!D22</f>
        <v>72300</v>
      </c>
      <c r="E22" s="126"/>
      <c r="F22" s="126"/>
      <c r="G22" s="126"/>
      <c r="H22" s="126"/>
      <c r="I22" s="126"/>
      <c r="J22" s="126"/>
      <c r="K22" s="126"/>
      <c r="L22" s="126"/>
      <c r="M22" s="126"/>
      <c r="N22" s="126"/>
    </row>
    <row r="23" spans="1:14" ht="18" customHeight="1" hidden="1">
      <c r="A23" s="151" t="s">
        <v>414</v>
      </c>
      <c r="B23" s="126">
        <f>'[5]5)自建代建项目开发成本预算表（年）'!B23</f>
        <v>0</v>
      </c>
      <c r="C23" s="126">
        <f>'[5]5)自建代建项目开发成本预算表（年）'!C23</f>
        <v>0</v>
      </c>
      <c r="D23" s="126">
        <f>'[5]5)自建代建项目开发成本预算表（年）'!D23</f>
        <v>0</v>
      </c>
      <c r="E23" s="126"/>
      <c r="F23" s="126"/>
      <c r="G23" s="126"/>
      <c r="H23" s="126"/>
      <c r="I23" s="126"/>
      <c r="J23" s="126"/>
      <c r="K23" s="126"/>
      <c r="L23" s="126"/>
      <c r="M23" s="126"/>
      <c r="N23" s="126"/>
    </row>
    <row r="24" spans="1:14" ht="18" customHeight="1" hidden="1">
      <c r="A24" s="151" t="s">
        <v>415</v>
      </c>
      <c r="B24" s="126">
        <f>'[5]5)自建代建项目开发成本预算表（年）'!B24</f>
        <v>0</v>
      </c>
      <c r="C24" s="126">
        <f>'[5]5)自建代建项目开发成本预算表（年）'!C24</f>
        <v>0</v>
      </c>
      <c r="D24" s="126">
        <f>'[5]5)自建代建项目开发成本预算表（年）'!D24</f>
        <v>0</v>
      </c>
      <c r="E24" s="126"/>
      <c r="F24" s="126"/>
      <c r="G24" s="126"/>
      <c r="H24" s="126"/>
      <c r="I24" s="126"/>
      <c r="J24" s="126"/>
      <c r="K24" s="126"/>
      <c r="L24" s="126"/>
      <c r="M24" s="126"/>
      <c r="N24" s="126"/>
    </row>
    <row r="25" spans="1:14" ht="18" customHeight="1">
      <c r="A25" s="151" t="s">
        <v>416</v>
      </c>
      <c r="B25" s="126">
        <f>'[5]5)自建代建项目开发成本预算表（年）'!B25</f>
        <v>0</v>
      </c>
      <c r="C25" s="126">
        <f>'[5]5)自建代建项目开发成本预算表（年）'!C25</f>
        <v>0</v>
      </c>
      <c r="D25" s="126">
        <f>'[5]5)自建代建项目开发成本预算表（年）'!D25</f>
        <v>159800</v>
      </c>
      <c r="E25" s="126"/>
      <c r="F25" s="126"/>
      <c r="G25" s="126"/>
      <c r="H25" s="126"/>
      <c r="I25" s="126"/>
      <c r="J25" s="126"/>
      <c r="K25" s="126"/>
      <c r="L25" s="126"/>
      <c r="M25" s="126"/>
      <c r="N25" s="126"/>
    </row>
    <row r="26" spans="1:14" ht="18" customHeight="1" hidden="1">
      <c r="A26" s="151" t="s">
        <v>417</v>
      </c>
      <c r="B26" s="126">
        <f>'[5]5)自建代建项目开发成本预算表（年）'!B26</f>
        <v>0</v>
      </c>
      <c r="C26" s="126">
        <f>'[5]5)自建代建项目开发成本预算表（年）'!C26</f>
        <v>0</v>
      </c>
      <c r="D26" s="126">
        <f>'[5]5)自建代建项目开发成本预算表（年）'!D26</f>
        <v>0</v>
      </c>
      <c r="E26" s="126"/>
      <c r="F26" s="126"/>
      <c r="G26" s="126"/>
      <c r="H26" s="126"/>
      <c r="I26" s="126"/>
      <c r="J26" s="126"/>
      <c r="K26" s="126"/>
      <c r="L26" s="126"/>
      <c r="M26" s="126"/>
      <c r="N26" s="126"/>
    </row>
    <row r="27" spans="1:14" ht="18" customHeight="1">
      <c r="A27" s="151" t="s">
        <v>418</v>
      </c>
      <c r="B27" s="126">
        <f>'[5]5)自建代建项目开发成本预算表（年）'!B27</f>
        <v>0</v>
      </c>
      <c r="C27" s="126">
        <f>'[5]5)自建代建项目开发成本预算表（年）'!C27</f>
        <v>0</v>
      </c>
      <c r="D27" s="126">
        <f>'[5]5)自建代建项目开发成本预算表（年）'!D27</f>
        <v>0</v>
      </c>
      <c r="E27" s="126"/>
      <c r="F27" s="126"/>
      <c r="G27" s="126"/>
      <c r="H27" s="126"/>
      <c r="I27" s="126"/>
      <c r="J27" s="126"/>
      <c r="K27" s="126"/>
      <c r="L27" s="126"/>
      <c r="M27" s="126"/>
      <c r="N27" s="126"/>
    </row>
    <row r="28" spans="1:14" ht="18" customHeight="1" hidden="1">
      <c r="A28" s="151" t="s">
        <v>419</v>
      </c>
      <c r="B28" s="126">
        <f>'[5]5)自建代建项目开发成本预算表（年）'!B28</f>
        <v>0</v>
      </c>
      <c r="C28" s="126">
        <f>'[5]5)自建代建项目开发成本预算表（年）'!C28</f>
        <v>0</v>
      </c>
      <c r="D28" s="126">
        <f>'[5]5)自建代建项目开发成本预算表（年）'!D28</f>
        <v>0</v>
      </c>
      <c r="E28" s="126"/>
      <c r="F28" s="126"/>
      <c r="G28" s="126"/>
      <c r="H28" s="126"/>
      <c r="I28" s="126"/>
      <c r="J28" s="126"/>
      <c r="K28" s="126"/>
      <c r="L28" s="126"/>
      <c r="M28" s="126"/>
      <c r="N28" s="126"/>
    </row>
    <row r="29" spans="1:14" ht="18" customHeight="1" hidden="1">
      <c r="A29" s="151" t="s">
        <v>420</v>
      </c>
      <c r="B29" s="126">
        <f>'[5]5)自建代建项目开发成本预算表（年）'!B29</f>
        <v>0</v>
      </c>
      <c r="C29" s="126">
        <f>'[5]5)自建代建项目开发成本预算表（年）'!C29</f>
        <v>0</v>
      </c>
      <c r="D29" s="126">
        <f>'[5]5)自建代建项目开发成本预算表（年）'!D29</f>
        <v>0</v>
      </c>
      <c r="E29" s="126"/>
      <c r="F29" s="126"/>
      <c r="G29" s="126"/>
      <c r="H29" s="126"/>
      <c r="I29" s="126"/>
      <c r="J29" s="126"/>
      <c r="K29" s="126"/>
      <c r="L29" s="126"/>
      <c r="M29" s="126"/>
      <c r="N29" s="126"/>
    </row>
    <row r="30" spans="1:14" ht="18" customHeight="1">
      <c r="A30" s="151" t="s">
        <v>421</v>
      </c>
      <c r="B30" s="126">
        <f>'[5]5)自建代建项目开发成本预算表（年）'!B30</f>
        <v>0</v>
      </c>
      <c r="C30" s="126">
        <f>'[5]5)自建代建项目开发成本预算表（年）'!C30</f>
        <v>0</v>
      </c>
      <c r="D30" s="126">
        <f>'[5]5)自建代建项目开发成本预算表（年）'!D30</f>
        <v>0</v>
      </c>
      <c r="E30" s="126"/>
      <c r="F30" s="126"/>
      <c r="G30" s="126"/>
      <c r="H30" s="126"/>
      <c r="I30" s="126"/>
      <c r="J30" s="126"/>
      <c r="K30" s="126"/>
      <c r="L30" s="126"/>
      <c r="M30" s="126"/>
      <c r="N30" s="126"/>
    </row>
    <row r="31" spans="1:14" ht="18" customHeight="1" hidden="1">
      <c r="A31" s="151" t="s">
        <v>422</v>
      </c>
      <c r="B31" s="126">
        <f>'[5]5)自建代建项目开发成本预算表（年）'!B31</f>
        <v>0</v>
      </c>
      <c r="C31" s="126">
        <f>'[5]5)自建代建项目开发成本预算表（年）'!C31</f>
        <v>0</v>
      </c>
      <c r="D31" s="126">
        <f>'[5]5)自建代建项目开发成本预算表（年）'!D31</f>
        <v>0</v>
      </c>
      <c r="E31" s="126"/>
      <c r="F31" s="126"/>
      <c r="G31" s="126"/>
      <c r="H31" s="126"/>
      <c r="I31" s="126"/>
      <c r="J31" s="126"/>
      <c r="K31" s="126"/>
      <c r="L31" s="126"/>
      <c r="M31" s="126"/>
      <c r="N31" s="126"/>
    </row>
    <row r="32" spans="1:14" ht="18" customHeight="1" hidden="1">
      <c r="A32" s="151" t="s">
        <v>423</v>
      </c>
      <c r="B32" s="126">
        <f>'[5]5)自建代建项目开发成本预算表（年）'!B32</f>
        <v>0</v>
      </c>
      <c r="C32" s="126">
        <f>'[5]5)自建代建项目开发成本预算表（年）'!C32</f>
        <v>0</v>
      </c>
      <c r="D32" s="126">
        <f>'[5]5)自建代建项目开发成本预算表（年）'!D32</f>
        <v>0</v>
      </c>
      <c r="E32" s="126"/>
      <c r="F32" s="126"/>
      <c r="G32" s="126"/>
      <c r="H32" s="126"/>
      <c r="I32" s="126"/>
      <c r="J32" s="126"/>
      <c r="K32" s="126"/>
      <c r="L32" s="126"/>
      <c r="M32" s="126"/>
      <c r="N32" s="126"/>
    </row>
    <row r="33" spans="1:14" ht="18" customHeight="1" hidden="1">
      <c r="A33" s="151" t="s">
        <v>424</v>
      </c>
      <c r="B33" s="126">
        <f>'[5]5)自建代建项目开发成本预算表（年）'!B33</f>
        <v>0</v>
      </c>
      <c r="C33" s="126">
        <f>'[5]5)自建代建项目开发成本预算表（年）'!C33</f>
        <v>0</v>
      </c>
      <c r="D33" s="126">
        <f>'[5]5)自建代建项目开发成本预算表（年）'!D33</f>
        <v>0</v>
      </c>
      <c r="E33" s="126"/>
      <c r="F33" s="126"/>
      <c r="G33" s="126"/>
      <c r="H33" s="126"/>
      <c r="I33" s="126"/>
      <c r="J33" s="126"/>
      <c r="K33" s="126"/>
      <c r="L33" s="126"/>
      <c r="M33" s="126"/>
      <c r="N33" s="126"/>
    </row>
    <row r="34" spans="1:14" ht="18" customHeight="1" hidden="1">
      <c r="A34" s="151" t="s">
        <v>425</v>
      </c>
      <c r="B34" s="126">
        <f>'[5]5)自建代建项目开发成本预算表（年）'!B34</f>
        <v>0</v>
      </c>
      <c r="C34" s="126">
        <f>'[5]5)自建代建项目开发成本预算表（年）'!C34</f>
        <v>0</v>
      </c>
      <c r="D34" s="126">
        <f>'[5]5)自建代建项目开发成本预算表（年）'!D34</f>
        <v>0</v>
      </c>
      <c r="E34" s="126"/>
      <c r="F34" s="126"/>
      <c r="G34" s="126"/>
      <c r="H34" s="126"/>
      <c r="I34" s="126"/>
      <c r="J34" s="126"/>
      <c r="K34" s="126"/>
      <c r="L34" s="126"/>
      <c r="M34" s="126"/>
      <c r="N34" s="126"/>
    </row>
    <row r="35" spans="1:14" ht="18" customHeight="1" hidden="1">
      <c r="A35" s="151" t="s">
        <v>426</v>
      </c>
      <c r="B35" s="126">
        <f>'[5]5)自建代建项目开发成本预算表（年）'!B35</f>
        <v>0</v>
      </c>
      <c r="C35" s="126">
        <f>'[5]5)自建代建项目开发成本预算表（年）'!C35</f>
        <v>0</v>
      </c>
      <c r="D35" s="126">
        <f>'[5]5)自建代建项目开发成本预算表（年）'!D35</f>
        <v>0</v>
      </c>
      <c r="E35" s="126"/>
      <c r="F35" s="126"/>
      <c r="G35" s="126"/>
      <c r="H35" s="126"/>
      <c r="I35" s="126"/>
      <c r="J35" s="126"/>
      <c r="K35" s="126"/>
      <c r="L35" s="126"/>
      <c r="M35" s="126"/>
      <c r="N35" s="126"/>
    </row>
    <row r="36" spans="1:14" ht="18" customHeight="1" hidden="1">
      <c r="A36" s="151" t="s">
        <v>427</v>
      </c>
      <c r="B36" s="126">
        <f>'[5]5)自建代建项目开发成本预算表（年）'!B36</f>
        <v>0</v>
      </c>
      <c r="C36" s="126">
        <f>'[5]5)自建代建项目开发成本预算表（年）'!C36</f>
        <v>0</v>
      </c>
      <c r="D36" s="126">
        <f>'[5]5)自建代建项目开发成本预算表（年）'!D36</f>
        <v>0</v>
      </c>
      <c r="E36" s="126"/>
      <c r="F36" s="126"/>
      <c r="G36" s="126"/>
      <c r="H36" s="126"/>
      <c r="I36" s="126"/>
      <c r="J36" s="126"/>
      <c r="K36" s="126"/>
      <c r="L36" s="126"/>
      <c r="M36" s="126"/>
      <c r="N36" s="126"/>
    </row>
    <row r="37" spans="1:14" ht="18" customHeight="1">
      <c r="A37" s="151" t="s">
        <v>428</v>
      </c>
      <c r="B37" s="126">
        <f>'[5]5)自建代建项目开发成本预算表（年）'!B37</f>
        <v>0</v>
      </c>
      <c r="C37" s="126">
        <f>'[5]5)自建代建项目开发成本预算表（年）'!C37</f>
        <v>0</v>
      </c>
      <c r="D37" s="126">
        <f>'[5]5)自建代建项目开发成本预算表（年）'!D37</f>
        <v>3334600</v>
      </c>
      <c r="E37" s="126"/>
      <c r="F37" s="126"/>
      <c r="G37" s="126"/>
      <c r="H37" s="126"/>
      <c r="I37" s="126"/>
      <c r="J37" s="126"/>
      <c r="K37" s="126"/>
      <c r="L37" s="126"/>
      <c r="M37" s="126"/>
      <c r="N37" s="126"/>
    </row>
    <row r="38" spans="1:14" ht="18" customHeight="1">
      <c r="A38" s="151" t="s">
        <v>429</v>
      </c>
      <c r="B38" s="126">
        <f>'[5]5)自建代建项目开发成本预算表（年）'!B38</f>
        <v>0</v>
      </c>
      <c r="C38" s="126">
        <f>'[5]5)自建代建项目开发成本预算表（年）'!C38</f>
        <v>0</v>
      </c>
      <c r="D38" s="126">
        <f>'[5]5)自建代建项目开发成本预算表（年）'!D38</f>
        <v>0</v>
      </c>
      <c r="E38" s="126"/>
      <c r="F38" s="126"/>
      <c r="G38" s="126"/>
      <c r="H38" s="126"/>
      <c r="I38" s="126"/>
      <c r="J38" s="126"/>
      <c r="K38" s="126"/>
      <c r="L38" s="126"/>
      <c r="M38" s="126"/>
      <c r="N38" s="126"/>
    </row>
    <row r="39" spans="1:14" ht="18" customHeight="1">
      <c r="A39" s="151" t="s">
        <v>430</v>
      </c>
      <c r="B39" s="126">
        <f>'[5]5)自建代建项目开发成本预算表（年）'!B39</f>
        <v>43380</v>
      </c>
      <c r="C39" s="126">
        <f>'[5]5)自建代建项目开发成本预算表（年）'!C39</f>
        <v>0</v>
      </c>
      <c r="D39" s="126">
        <f>'[5]5)自建代建项目开发成本预算表（年）'!D39</f>
        <v>192000</v>
      </c>
      <c r="E39" s="126"/>
      <c r="F39" s="126"/>
      <c r="G39" s="126"/>
      <c r="H39" s="126"/>
      <c r="I39" s="126"/>
      <c r="J39" s="126"/>
      <c r="K39" s="126"/>
      <c r="L39" s="126"/>
      <c r="M39" s="126"/>
      <c r="N39" s="126"/>
    </row>
    <row r="40" spans="1:14" ht="18" customHeight="1">
      <c r="A40" s="151" t="s">
        <v>431</v>
      </c>
      <c r="B40" s="126">
        <f>'[5]5)自建代建项目开发成本预算表（年）'!B40</f>
        <v>34818</v>
      </c>
      <c r="C40" s="126">
        <f>'[5]5)自建代建项目开发成本预算表（年）'!C40</f>
        <v>0</v>
      </c>
      <c r="D40" s="126">
        <f>'[5]5)自建代建项目开发成本预算表（年）'!D40</f>
        <v>0</v>
      </c>
      <c r="E40" s="126"/>
      <c r="F40" s="126"/>
      <c r="G40" s="126"/>
      <c r="H40" s="126"/>
      <c r="I40" s="126"/>
      <c r="J40" s="126"/>
      <c r="K40" s="126"/>
      <c r="L40" s="126"/>
      <c r="M40" s="126"/>
      <c r="N40" s="126"/>
    </row>
    <row r="41" spans="1:14" ht="18" customHeight="1">
      <c r="A41" s="151" t="s">
        <v>432</v>
      </c>
      <c r="B41" s="194">
        <f aca="true" t="shared" si="6" ref="B41:G41">SUM(B42:B48)</f>
        <v>0</v>
      </c>
      <c r="C41" s="194">
        <f t="shared" si="6"/>
        <v>0</v>
      </c>
      <c r="D41" s="194">
        <f t="shared" si="6"/>
        <v>15602100</v>
      </c>
      <c r="E41" s="194">
        <f t="shared" si="6"/>
        <v>0</v>
      </c>
      <c r="F41" s="194">
        <f t="shared" si="6"/>
        <v>0</v>
      </c>
      <c r="G41" s="194">
        <f t="shared" si="6"/>
        <v>0</v>
      </c>
      <c r="H41" s="194">
        <f aca="true" t="shared" si="7" ref="H41:P41">SUM(H42:H48)</f>
        <v>0</v>
      </c>
      <c r="I41" s="194">
        <f t="shared" si="7"/>
        <v>0</v>
      </c>
      <c r="J41" s="194">
        <f t="shared" si="7"/>
        <v>0</v>
      </c>
      <c r="K41" s="194">
        <f t="shared" si="7"/>
        <v>0</v>
      </c>
      <c r="L41" s="194">
        <f t="shared" si="7"/>
        <v>0</v>
      </c>
      <c r="M41" s="194">
        <f t="shared" si="7"/>
        <v>0</v>
      </c>
      <c r="N41" s="195"/>
    </row>
    <row r="42" spans="1:14" ht="18" customHeight="1">
      <c r="A42" s="151" t="s">
        <v>433</v>
      </c>
      <c r="B42" s="126">
        <f>'[5]5)自建代建项目开发成本预算表（年）'!B42</f>
        <v>0</v>
      </c>
      <c r="C42" s="126">
        <f>'[5]5)自建代建项目开发成本预算表（年）'!C42</f>
        <v>0</v>
      </c>
      <c r="D42" s="126">
        <f>'[5]5)自建代建项目开发成本预算表（年）'!D42</f>
        <v>10922100</v>
      </c>
      <c r="E42" s="195"/>
      <c r="F42" s="195"/>
      <c r="G42" s="195"/>
      <c r="H42" s="195"/>
      <c r="I42" s="195"/>
      <c r="J42" s="195"/>
      <c r="K42" s="195"/>
      <c r="L42" s="195"/>
      <c r="M42" s="195"/>
      <c r="N42" s="195"/>
    </row>
    <row r="43" spans="1:14" ht="18" customHeight="1">
      <c r="A43" s="151" t="s">
        <v>434</v>
      </c>
      <c r="B43" s="126">
        <f>'[5]5)自建代建项目开发成本预算表（年）'!B43</f>
        <v>0</v>
      </c>
      <c r="C43" s="126">
        <f>'[5]5)自建代建项目开发成本预算表（年）'!C43</f>
        <v>0</v>
      </c>
      <c r="D43" s="126">
        <f>'[5]5)自建代建项目开发成本预算表（年）'!D43</f>
        <v>1500000</v>
      </c>
      <c r="E43" s="195"/>
      <c r="F43" s="195"/>
      <c r="G43" s="195"/>
      <c r="H43" s="195"/>
      <c r="I43" s="195"/>
      <c r="J43" s="195"/>
      <c r="K43" s="195"/>
      <c r="L43" s="195"/>
      <c r="M43" s="195"/>
      <c r="N43" s="195"/>
    </row>
    <row r="44" spans="1:14" ht="18" customHeight="1">
      <c r="A44" s="151" t="s">
        <v>435</v>
      </c>
      <c r="B44" s="126">
        <f>'[5]5)自建代建项目开发成本预算表（年）'!B44</f>
        <v>0</v>
      </c>
      <c r="C44" s="126">
        <f>'[5]5)自建代建项目开发成本预算表（年）'!C44</f>
        <v>0</v>
      </c>
      <c r="D44" s="126">
        <f>'[5]5)自建代建项目开发成本预算表（年）'!D44</f>
        <v>0</v>
      </c>
      <c r="E44" s="195"/>
      <c r="F44" s="195"/>
      <c r="G44" s="195"/>
      <c r="H44" s="195"/>
      <c r="I44" s="195"/>
      <c r="J44" s="195"/>
      <c r="K44" s="195"/>
      <c r="L44" s="195"/>
      <c r="M44" s="195"/>
      <c r="N44" s="195"/>
    </row>
    <row r="45" spans="1:14" ht="18" customHeight="1">
      <c r="A45" s="151" t="s">
        <v>436</v>
      </c>
      <c r="B45" s="126">
        <f>'[5]5)自建代建项目开发成本预算表（年）'!B45</f>
        <v>0</v>
      </c>
      <c r="C45" s="126">
        <f>'[5]5)自建代建项目开发成本预算表（年）'!C45</f>
        <v>0</v>
      </c>
      <c r="D45" s="126">
        <f>'[5]5)自建代建项目开发成本预算表（年）'!D45</f>
        <v>0</v>
      </c>
      <c r="E45" s="195"/>
      <c r="F45" s="195"/>
      <c r="G45" s="195"/>
      <c r="H45" s="195"/>
      <c r="I45" s="195"/>
      <c r="J45" s="195"/>
      <c r="K45" s="195"/>
      <c r="L45" s="195"/>
      <c r="M45" s="195"/>
      <c r="N45" s="195"/>
    </row>
    <row r="46" spans="1:14" ht="18" customHeight="1">
      <c r="A46" s="151" t="s">
        <v>437</v>
      </c>
      <c r="B46" s="126">
        <f>'[5]5)自建代建项目开发成本预算表（年）'!B46</f>
        <v>0</v>
      </c>
      <c r="C46" s="126">
        <f>'[5]5)自建代建项目开发成本预算表（年）'!C46</f>
        <v>0</v>
      </c>
      <c r="D46" s="126">
        <f>'[5]5)自建代建项目开发成本预算表（年）'!D46</f>
        <v>0</v>
      </c>
      <c r="E46" s="195"/>
      <c r="F46" s="195"/>
      <c r="G46" s="195"/>
      <c r="H46" s="195"/>
      <c r="I46" s="195"/>
      <c r="J46" s="195"/>
      <c r="K46" s="195"/>
      <c r="L46" s="195"/>
      <c r="M46" s="195"/>
      <c r="N46" s="195"/>
    </row>
    <row r="47" spans="1:14" ht="18" customHeight="1">
      <c r="A47" s="151" t="s">
        <v>438</v>
      </c>
      <c r="B47" s="126">
        <f>'[5]5)自建代建项目开发成本预算表（年）'!B47</f>
        <v>0</v>
      </c>
      <c r="C47" s="126">
        <f>'[5]5)自建代建项目开发成本预算表（年）'!C47</f>
        <v>0</v>
      </c>
      <c r="D47" s="126">
        <f>'[5]5)自建代建项目开发成本预算表（年）'!D47</f>
        <v>0</v>
      </c>
      <c r="E47" s="195"/>
      <c r="F47" s="195"/>
      <c r="G47" s="195"/>
      <c r="H47" s="195"/>
      <c r="I47" s="195"/>
      <c r="J47" s="195"/>
      <c r="K47" s="195"/>
      <c r="L47" s="195"/>
      <c r="M47" s="195"/>
      <c r="N47" s="195"/>
    </row>
    <row r="48" spans="1:14" ht="18" customHeight="1">
      <c r="A48" s="151" t="s">
        <v>439</v>
      </c>
      <c r="B48" s="126">
        <f>'[5]5)自建代建项目开发成本预算表（年）'!B48</f>
        <v>0</v>
      </c>
      <c r="C48" s="126">
        <f>'[5]5)自建代建项目开发成本预算表（年）'!C48</f>
        <v>0</v>
      </c>
      <c r="D48" s="126">
        <f>'[5]5)自建代建项目开发成本预算表（年）'!D48</f>
        <v>3180000</v>
      </c>
      <c r="E48" s="195"/>
      <c r="F48" s="195"/>
      <c r="G48" s="195"/>
      <c r="H48" s="195"/>
      <c r="I48" s="195"/>
      <c r="J48" s="195"/>
      <c r="K48" s="195"/>
      <c r="L48" s="195"/>
      <c r="M48" s="195"/>
      <c r="N48" s="195"/>
    </row>
    <row r="49" spans="1:14" ht="18" customHeight="1">
      <c r="A49" s="151" t="s">
        <v>440</v>
      </c>
      <c r="B49" s="152">
        <f aca="true" t="shared" si="8" ref="B49:G49">SUM(B50:B57)</f>
        <v>3543342.98</v>
      </c>
      <c r="C49" s="152">
        <f t="shared" si="8"/>
        <v>3489555.31</v>
      </c>
      <c r="D49" s="152">
        <f t="shared" si="8"/>
        <v>45495600</v>
      </c>
      <c r="E49" s="152">
        <f t="shared" si="8"/>
        <v>0</v>
      </c>
      <c r="F49" s="152">
        <f t="shared" si="8"/>
        <v>0</v>
      </c>
      <c r="G49" s="152">
        <f t="shared" si="8"/>
        <v>0</v>
      </c>
      <c r="H49" s="152">
        <f aca="true" t="shared" si="9" ref="H49:P49">SUM(H50:H57)</f>
        <v>0</v>
      </c>
      <c r="I49" s="152">
        <f t="shared" si="9"/>
        <v>0</v>
      </c>
      <c r="J49" s="152">
        <f t="shared" si="9"/>
        <v>0</v>
      </c>
      <c r="K49" s="152">
        <f t="shared" si="9"/>
        <v>0</v>
      </c>
      <c r="L49" s="152">
        <f t="shared" si="9"/>
        <v>0</v>
      </c>
      <c r="M49" s="152">
        <f t="shared" si="9"/>
        <v>0</v>
      </c>
      <c r="N49" s="195"/>
    </row>
    <row r="50" spans="1:14" ht="18" customHeight="1">
      <c r="A50" s="151" t="s">
        <v>441</v>
      </c>
      <c r="B50" s="126">
        <f>'[5]5)自建代建项目开发成本预算表（年）'!B50</f>
        <v>3492635.98</v>
      </c>
      <c r="C50" s="126">
        <f>'[5]5)自建代建项目开发成本预算表（年）'!C50</f>
        <v>3489555.31</v>
      </c>
      <c r="D50" s="126">
        <f>'[5]5)自建代建项目开发成本预算表（年）'!D50</f>
        <v>39744600</v>
      </c>
      <c r="E50" s="126"/>
      <c r="F50" s="126"/>
      <c r="G50" s="126"/>
      <c r="H50" s="126"/>
      <c r="I50" s="126"/>
      <c r="J50" s="126"/>
      <c r="K50" s="126"/>
      <c r="L50" s="126"/>
      <c r="M50" s="126"/>
      <c r="N50" s="195"/>
    </row>
    <row r="51" spans="1:14" ht="18" customHeight="1">
      <c r="A51" s="151" t="s">
        <v>442</v>
      </c>
      <c r="B51" s="126">
        <f>'[5]5)自建代建项目开发成本预算表（年）'!B51</f>
        <v>0</v>
      </c>
      <c r="C51" s="126">
        <f>'[5]5)自建代建项目开发成本预算表（年）'!C51</f>
        <v>0</v>
      </c>
      <c r="D51" s="126">
        <f>'[5]5)自建代建项目开发成本预算表（年）'!D51</f>
        <v>4464900</v>
      </c>
      <c r="E51" s="126"/>
      <c r="F51" s="126"/>
      <c r="G51" s="126"/>
      <c r="H51" s="126"/>
      <c r="I51" s="126"/>
      <c r="J51" s="126"/>
      <c r="K51" s="126"/>
      <c r="L51" s="126"/>
      <c r="M51" s="126"/>
      <c r="N51" s="157"/>
    </row>
    <row r="52" spans="1:14" ht="18" customHeight="1">
      <c r="A52" s="151" t="s">
        <v>443</v>
      </c>
      <c r="B52" s="126">
        <f>'[5]5)自建代建项目开发成本预算表（年）'!B52</f>
        <v>0</v>
      </c>
      <c r="C52" s="126">
        <f>'[5]5)自建代建项目开发成本预算表（年）'!C52</f>
        <v>0</v>
      </c>
      <c r="D52" s="126">
        <f>'[5]5)自建代建项目开发成本预算表（年）'!D52</f>
        <v>0</v>
      </c>
      <c r="E52" s="126"/>
      <c r="F52" s="126"/>
      <c r="G52" s="126"/>
      <c r="H52" s="126"/>
      <c r="I52" s="126"/>
      <c r="J52" s="126"/>
      <c r="K52" s="126"/>
      <c r="L52" s="126"/>
      <c r="M52" s="126"/>
      <c r="N52" s="157"/>
    </row>
    <row r="53" spans="1:14" ht="18" customHeight="1">
      <c r="A53" s="151" t="s">
        <v>444</v>
      </c>
      <c r="B53" s="126">
        <f>'[5]5)自建代建项目开发成本预算表（年）'!B53</f>
        <v>0</v>
      </c>
      <c r="C53" s="126">
        <f>'[5]5)自建代建项目开发成本预算表（年）'!C53</f>
        <v>0</v>
      </c>
      <c r="D53" s="126">
        <f>'[5]5)自建代建项目开发成本预算表（年）'!D53</f>
        <v>140400</v>
      </c>
      <c r="E53" s="126"/>
      <c r="F53" s="126"/>
      <c r="G53" s="126"/>
      <c r="H53" s="126"/>
      <c r="I53" s="126"/>
      <c r="J53" s="126"/>
      <c r="K53" s="126"/>
      <c r="L53" s="126"/>
      <c r="M53" s="126"/>
      <c r="N53" s="157"/>
    </row>
    <row r="54" spans="1:14" ht="18" customHeight="1">
      <c r="A54" s="151" t="s">
        <v>445</v>
      </c>
      <c r="B54" s="126">
        <f>'[5]5)自建代建项目开发成本预算表（年）'!B54</f>
        <v>0</v>
      </c>
      <c r="C54" s="126">
        <f>'[5]5)自建代建项目开发成本预算表（年）'!C54</f>
        <v>0</v>
      </c>
      <c r="D54" s="126">
        <f>'[5]5)自建代建项目开发成本预算表（年）'!D54</f>
        <v>0</v>
      </c>
      <c r="E54" s="126"/>
      <c r="F54" s="126"/>
      <c r="G54" s="126"/>
      <c r="H54" s="126"/>
      <c r="I54" s="126"/>
      <c r="J54" s="126"/>
      <c r="K54" s="126"/>
      <c r="L54" s="126"/>
      <c r="M54" s="126"/>
      <c r="N54" s="157"/>
    </row>
    <row r="55" spans="1:14" ht="18" customHeight="1">
      <c r="A55" s="151" t="s">
        <v>446</v>
      </c>
      <c r="B55" s="126">
        <f>'[5]5)自建代建项目开发成本预算表（年）'!B55</f>
        <v>0</v>
      </c>
      <c r="C55" s="126">
        <f>'[5]5)自建代建项目开发成本预算表（年）'!C55</f>
        <v>0</v>
      </c>
      <c r="D55" s="126">
        <f>'[5]5)自建代建项目开发成本预算表（年）'!D55</f>
        <v>0</v>
      </c>
      <c r="E55" s="126"/>
      <c r="F55" s="126"/>
      <c r="G55" s="126"/>
      <c r="H55" s="126"/>
      <c r="I55" s="126"/>
      <c r="J55" s="126"/>
      <c r="K55" s="126"/>
      <c r="L55" s="126"/>
      <c r="M55" s="126"/>
      <c r="N55" s="157"/>
    </row>
    <row r="56" spans="1:14" ht="18" customHeight="1">
      <c r="A56" s="151" t="s">
        <v>447</v>
      </c>
      <c r="B56" s="126">
        <f>'[5]5)自建代建项目开发成本预算表（年）'!B56</f>
        <v>50707</v>
      </c>
      <c r="C56" s="126">
        <f>'[5]5)自建代建项目开发成本预算表（年）'!C56</f>
        <v>0</v>
      </c>
      <c r="D56" s="126">
        <f>'[5]5)自建代建项目开发成本预算表（年）'!D56</f>
        <v>1145700</v>
      </c>
      <c r="E56" s="126"/>
      <c r="F56" s="126"/>
      <c r="G56" s="126"/>
      <c r="H56" s="126"/>
      <c r="I56" s="126"/>
      <c r="J56" s="126"/>
      <c r="K56" s="126"/>
      <c r="L56" s="126"/>
      <c r="M56" s="126"/>
      <c r="N56" s="157"/>
    </row>
    <row r="57" spans="1:14" ht="18" customHeight="1">
      <c r="A57" s="151" t="s">
        <v>448</v>
      </c>
      <c r="B57" s="126">
        <f>'[5]5)自建代建项目开发成本预算表（年）'!B57</f>
        <v>0</v>
      </c>
      <c r="C57" s="126">
        <f>'[5]5)自建代建项目开发成本预算表（年）'!C57</f>
        <v>0</v>
      </c>
      <c r="D57" s="126">
        <f>'[5]5)自建代建项目开发成本预算表（年）'!D57</f>
        <v>0</v>
      </c>
      <c r="E57" s="126"/>
      <c r="F57" s="126"/>
      <c r="G57" s="126"/>
      <c r="H57" s="126"/>
      <c r="I57" s="126"/>
      <c r="J57" s="126"/>
      <c r="K57" s="126"/>
      <c r="L57" s="126"/>
      <c r="M57" s="126"/>
      <c r="N57" s="157"/>
    </row>
    <row r="58" spans="1:14" ht="18" customHeight="1">
      <c r="A58" s="151" t="s">
        <v>449</v>
      </c>
      <c r="B58" s="194">
        <f aca="true" t="shared" si="10" ref="B58:G58">SUM(B59:B64)</f>
        <v>0</v>
      </c>
      <c r="C58" s="194">
        <f t="shared" si="10"/>
        <v>0</v>
      </c>
      <c r="D58" s="194">
        <f t="shared" si="10"/>
        <v>0</v>
      </c>
      <c r="E58" s="194">
        <f t="shared" si="10"/>
        <v>0</v>
      </c>
      <c r="F58" s="194">
        <f t="shared" si="10"/>
        <v>0</v>
      </c>
      <c r="G58" s="194">
        <f t="shared" si="10"/>
        <v>0</v>
      </c>
      <c r="H58" s="194">
        <f aca="true" t="shared" si="11" ref="H58:P58">SUM(H59:H64)</f>
        <v>0</v>
      </c>
      <c r="I58" s="194">
        <f t="shared" si="11"/>
        <v>0</v>
      </c>
      <c r="J58" s="194">
        <f t="shared" si="11"/>
        <v>0</v>
      </c>
      <c r="K58" s="194">
        <f t="shared" si="11"/>
        <v>0</v>
      </c>
      <c r="L58" s="194">
        <f t="shared" si="11"/>
        <v>0</v>
      </c>
      <c r="M58" s="194">
        <f t="shared" si="11"/>
        <v>0</v>
      </c>
      <c r="N58" s="157"/>
    </row>
    <row r="59" spans="1:14" ht="18" customHeight="1">
      <c r="A59" s="151" t="s">
        <v>450</v>
      </c>
      <c r="B59" s="126">
        <f>'[5]5)自建代建项目开发成本预算表（年）'!B59</f>
        <v>0</v>
      </c>
      <c r="C59" s="126">
        <f>'[5]5)自建代建项目开发成本预算表（年）'!C59</f>
        <v>0</v>
      </c>
      <c r="D59" s="126">
        <f>'[5]5)自建代建项目开发成本预算表（年）'!D59</f>
        <v>0</v>
      </c>
      <c r="E59" s="195"/>
      <c r="F59" s="195"/>
      <c r="G59" s="195"/>
      <c r="H59" s="195"/>
      <c r="I59" s="195"/>
      <c r="J59" s="195"/>
      <c r="K59" s="195"/>
      <c r="L59" s="195"/>
      <c r="M59" s="195"/>
      <c r="N59" s="157"/>
    </row>
    <row r="60" spans="1:14" ht="18" customHeight="1">
      <c r="A60" s="151" t="s">
        <v>451</v>
      </c>
      <c r="B60" s="126">
        <f>'[5]5)自建代建项目开发成本预算表（年）'!B60</f>
        <v>0</v>
      </c>
      <c r="C60" s="126">
        <f>'[5]5)自建代建项目开发成本预算表（年）'!C60</f>
        <v>0</v>
      </c>
      <c r="D60" s="126">
        <f>'[5]5)自建代建项目开发成本预算表（年）'!D60</f>
        <v>0</v>
      </c>
      <c r="E60" s="195"/>
      <c r="F60" s="195"/>
      <c r="G60" s="195"/>
      <c r="H60" s="195"/>
      <c r="I60" s="195"/>
      <c r="J60" s="195"/>
      <c r="K60" s="195"/>
      <c r="L60" s="195"/>
      <c r="M60" s="195"/>
      <c r="N60" s="157"/>
    </row>
    <row r="61" spans="1:14" ht="18" customHeight="1">
      <c r="A61" s="151" t="s">
        <v>452</v>
      </c>
      <c r="B61" s="126">
        <f>'[5]5)自建代建项目开发成本预算表（年）'!B61</f>
        <v>0</v>
      </c>
      <c r="C61" s="126">
        <f>'[5]5)自建代建项目开发成本预算表（年）'!C61</f>
        <v>0</v>
      </c>
      <c r="D61" s="126">
        <f>'[5]5)自建代建项目开发成本预算表（年）'!D61</f>
        <v>0</v>
      </c>
      <c r="E61" s="195"/>
      <c r="F61" s="195"/>
      <c r="G61" s="195"/>
      <c r="H61" s="195"/>
      <c r="I61" s="195"/>
      <c r="J61" s="195"/>
      <c r="K61" s="195"/>
      <c r="L61" s="195"/>
      <c r="M61" s="195"/>
      <c r="N61" s="157"/>
    </row>
    <row r="62" spans="1:14" ht="18" customHeight="1">
      <c r="A62" s="151" t="s">
        <v>453</v>
      </c>
      <c r="B62" s="126">
        <f>'[5]5)自建代建项目开发成本预算表（年）'!B62</f>
        <v>0</v>
      </c>
      <c r="C62" s="126">
        <f>'[5]5)自建代建项目开发成本预算表（年）'!C62</f>
        <v>0</v>
      </c>
      <c r="D62" s="126">
        <f>'[5]5)自建代建项目开发成本预算表（年）'!D62</f>
        <v>0</v>
      </c>
      <c r="E62" s="195"/>
      <c r="F62" s="195"/>
      <c r="G62" s="195"/>
      <c r="H62" s="195"/>
      <c r="I62" s="195"/>
      <c r="J62" s="195"/>
      <c r="K62" s="195"/>
      <c r="L62" s="195"/>
      <c r="M62" s="195"/>
      <c r="N62" s="157"/>
    </row>
    <row r="63" spans="1:14" ht="18" customHeight="1">
      <c r="A63" s="151" t="s">
        <v>454</v>
      </c>
      <c r="B63" s="126">
        <f>'[5]5)自建代建项目开发成本预算表（年）'!B63</f>
        <v>0</v>
      </c>
      <c r="C63" s="126">
        <f>'[5]5)自建代建项目开发成本预算表（年）'!C63</f>
        <v>0</v>
      </c>
      <c r="D63" s="126">
        <f>'[5]5)自建代建项目开发成本预算表（年）'!D63</f>
        <v>0</v>
      </c>
      <c r="E63" s="195"/>
      <c r="F63" s="195"/>
      <c r="G63" s="195"/>
      <c r="H63" s="195"/>
      <c r="I63" s="195"/>
      <c r="J63" s="195"/>
      <c r="K63" s="195"/>
      <c r="L63" s="195"/>
      <c r="M63" s="195"/>
      <c r="N63" s="157"/>
    </row>
    <row r="64" spans="1:14" ht="18" customHeight="1">
      <c r="A64" s="151" t="s">
        <v>455</v>
      </c>
      <c r="B64" s="126">
        <f>'[5]5)自建代建项目开发成本预算表（年）'!B64</f>
        <v>0</v>
      </c>
      <c r="C64" s="126">
        <f>'[5]5)自建代建项目开发成本预算表（年）'!C64</f>
        <v>0</v>
      </c>
      <c r="D64" s="126">
        <f>'[5]5)自建代建项目开发成本预算表（年）'!D64</f>
        <v>0</v>
      </c>
      <c r="E64" s="195"/>
      <c r="F64" s="195"/>
      <c r="G64" s="195"/>
      <c r="H64" s="195"/>
      <c r="I64" s="195"/>
      <c r="J64" s="195"/>
      <c r="K64" s="195"/>
      <c r="L64" s="195"/>
      <c r="M64" s="195"/>
      <c r="N64" s="157"/>
    </row>
    <row r="65" spans="1:14" ht="18" customHeight="1">
      <c r="A65" s="151" t="s">
        <v>456</v>
      </c>
      <c r="B65" s="126">
        <f>'[5]5)自建代建项目开发成本预算表（年）'!B65</f>
        <v>0</v>
      </c>
      <c r="C65" s="126">
        <f>'[5]5)自建代建项目开发成本预算表（年）'!C65</f>
        <v>0</v>
      </c>
      <c r="D65" s="126">
        <f>'[5]5)自建代建项目开发成本预算表（年）'!D65</f>
        <v>911700</v>
      </c>
      <c r="E65" s="126"/>
      <c r="F65" s="126"/>
      <c r="G65" s="126"/>
      <c r="H65" s="126"/>
      <c r="I65" s="126"/>
      <c r="J65" s="126"/>
      <c r="K65" s="126"/>
      <c r="L65" s="126"/>
      <c r="M65" s="126"/>
      <c r="N65" s="163"/>
    </row>
    <row r="66" spans="1:14" ht="18" customHeight="1">
      <c r="A66" s="157"/>
      <c r="B66" s="163"/>
      <c r="C66" s="158" t="s">
        <v>340</v>
      </c>
      <c r="D66" s="157"/>
      <c r="E66" s="157"/>
      <c r="F66" s="163"/>
      <c r="G66" s="158" t="s">
        <v>380</v>
      </c>
      <c r="H66" s="157"/>
      <c r="I66" s="157"/>
      <c r="J66" s="157"/>
      <c r="K66" s="157"/>
      <c r="L66" s="157"/>
      <c r="M66" s="157"/>
      <c r="N66" s="157"/>
    </row>
    <row r="67" spans="1:14" ht="18" customHeight="1">
      <c r="A67" s="157" t="s">
        <v>457</v>
      </c>
      <c r="B67" s="157" t="s">
        <v>458</v>
      </c>
      <c r="C67" s="157" t="s">
        <v>458</v>
      </c>
      <c r="D67" s="157" t="s">
        <v>458</v>
      </c>
      <c r="E67" s="157" t="s">
        <v>458</v>
      </c>
      <c r="F67" s="157" t="s">
        <v>458</v>
      </c>
      <c r="G67" s="157" t="s">
        <v>458</v>
      </c>
      <c r="H67" s="157"/>
      <c r="I67" s="157"/>
      <c r="J67" s="157"/>
      <c r="K67" s="157"/>
      <c r="L67" s="157"/>
      <c r="M67" s="157"/>
      <c r="N67" s="157"/>
    </row>
    <row r="68" spans="1:14" ht="18" customHeight="1">
      <c r="A68" s="157"/>
      <c r="B68" s="157"/>
      <c r="C68" s="157"/>
      <c r="D68" s="157"/>
      <c r="E68" s="157"/>
      <c r="F68" s="157"/>
      <c r="G68" s="157"/>
      <c r="H68" s="157"/>
      <c r="I68" s="157"/>
      <c r="J68" s="157"/>
      <c r="K68" s="157"/>
      <c r="L68" s="157"/>
      <c r="M68" s="157"/>
      <c r="N68" s="157"/>
    </row>
    <row r="69" spans="1:14" ht="18" customHeight="1">
      <c r="A69" s="157"/>
      <c r="B69" s="163"/>
      <c r="C69" s="163"/>
      <c r="D69" s="163"/>
      <c r="E69" s="163"/>
      <c r="F69" s="163"/>
      <c r="G69" s="163"/>
      <c r="H69" s="157"/>
      <c r="I69" s="157"/>
      <c r="J69" s="157"/>
      <c r="K69" s="157"/>
      <c r="L69" s="157"/>
      <c r="M69" s="157"/>
      <c r="N69" s="157"/>
    </row>
    <row r="71" ht="12.75">
      <c r="G71" s="197"/>
    </row>
  </sheetData>
  <sheetProtection formatCells="0"/>
  <protectedRanges>
    <protectedRange password="C47F" sqref="B7:J8 B13:J13 B49:J49" name="区域1"/>
    <protectedRange password="C47F" sqref="B41:J41 B58:J58" name="区域2"/>
  </protectedRanges>
  <mergeCells count="18">
    <mergeCell ref="A1:N1"/>
    <mergeCell ref="B3:D3"/>
    <mergeCell ref="E3:G3"/>
    <mergeCell ref="H3:J3"/>
    <mergeCell ref="K3:M3"/>
    <mergeCell ref="B5:D5"/>
    <mergeCell ref="E5:G5"/>
    <mergeCell ref="H5:J5"/>
    <mergeCell ref="K5:M5"/>
    <mergeCell ref="B6:D6"/>
    <mergeCell ref="E6:G6"/>
    <mergeCell ref="H6:J6"/>
    <mergeCell ref="K6:M6"/>
    <mergeCell ref="B67:G67"/>
    <mergeCell ref="B68:G68"/>
    <mergeCell ref="B69:G69"/>
    <mergeCell ref="A3:A4"/>
    <mergeCell ref="N3:N4"/>
  </mergeCells>
  <printOptions/>
  <pageMargins left="0.43000000000000005" right="0.39" top="0.47" bottom="0.59" header="0.31" footer="0.5"/>
  <pageSetup fitToHeight="1" fitToWidth="1" horizontalDpi="300" verticalDpi="300" orientation="landscape" paperSize="9" scale="51"/>
</worksheet>
</file>

<file path=xl/worksheets/sheet6.xml><?xml version="1.0" encoding="utf-8"?>
<worksheet xmlns="http://schemas.openxmlformats.org/spreadsheetml/2006/main" xmlns:r="http://schemas.openxmlformats.org/officeDocument/2006/relationships">
  <sheetPr>
    <pageSetUpPr fitToPage="1"/>
  </sheetPr>
  <dimension ref="A1:M52"/>
  <sheetViews>
    <sheetView workbookViewId="0" topLeftCell="A1">
      <selection activeCell="I27" sqref="I27"/>
    </sheetView>
  </sheetViews>
  <sheetFormatPr defaultColWidth="10.28125" defaultRowHeight="12.75"/>
  <cols>
    <col min="1" max="1" width="25.28125" style="138" customWidth="1"/>
    <col min="2" max="5" width="13.8515625" style="138" customWidth="1"/>
    <col min="6" max="6" width="10.7109375" style="138" customWidth="1"/>
    <col min="7" max="11" width="20.57421875" style="138" customWidth="1"/>
    <col min="12" max="12" width="11.7109375" style="138" customWidth="1"/>
    <col min="13" max="13" width="47.28125" style="138" customWidth="1"/>
    <col min="14" max="16384" width="10.28125" style="138" customWidth="1"/>
  </cols>
  <sheetData>
    <row r="1" spans="1:13" s="138" customFormat="1" ht="33" customHeight="1">
      <c r="A1" s="140" t="s">
        <v>459</v>
      </c>
      <c r="B1" s="140"/>
      <c r="C1" s="140" t="s">
        <v>460</v>
      </c>
      <c r="D1" s="140" t="s">
        <v>460</v>
      </c>
      <c r="E1" s="140"/>
      <c r="F1" s="140"/>
      <c r="G1" s="140" t="s">
        <v>460</v>
      </c>
      <c r="H1" s="140" t="s">
        <v>460</v>
      </c>
      <c r="I1" s="140" t="s">
        <v>460</v>
      </c>
      <c r="J1" s="140" t="s">
        <v>460</v>
      </c>
      <c r="K1" s="140" t="s">
        <v>460</v>
      </c>
      <c r="L1" s="140" t="s">
        <v>460</v>
      </c>
      <c r="M1" s="140" t="s">
        <v>460</v>
      </c>
    </row>
    <row r="2" spans="1:13" s="138" customFormat="1" ht="18" customHeight="1">
      <c r="A2" s="141" t="s">
        <v>461</v>
      </c>
      <c r="B2" s="142"/>
      <c r="C2" s="142"/>
      <c r="D2" s="142"/>
      <c r="E2" s="142"/>
      <c r="F2" s="142"/>
      <c r="G2" s="143"/>
      <c r="H2" s="143"/>
      <c r="I2" s="143"/>
      <c r="J2" s="143"/>
      <c r="K2" s="142"/>
      <c r="L2" s="164"/>
      <c r="M2" s="165" t="s">
        <v>1</v>
      </c>
    </row>
    <row r="3" spans="1:13" s="138" customFormat="1" ht="18" customHeight="1">
      <c r="A3" s="144" t="s">
        <v>290</v>
      </c>
      <c r="B3" s="145" t="s">
        <v>291</v>
      </c>
      <c r="C3" s="146"/>
      <c r="D3" s="146"/>
      <c r="E3" s="146"/>
      <c r="F3" s="147"/>
      <c r="G3" s="148" t="s">
        <v>462</v>
      </c>
      <c r="H3" s="147"/>
      <c r="I3" s="147"/>
      <c r="J3" s="147"/>
      <c r="K3" s="166"/>
      <c r="L3" s="167" t="s">
        <v>293</v>
      </c>
      <c r="M3" s="168" t="s">
        <v>33</v>
      </c>
    </row>
    <row r="4" spans="1:13" s="138" customFormat="1" ht="18" customHeight="1">
      <c r="A4" s="149"/>
      <c r="B4" s="150" t="s">
        <v>294</v>
      </c>
      <c r="C4" s="150" t="s">
        <v>463</v>
      </c>
      <c r="D4" s="150" t="s">
        <v>296</v>
      </c>
      <c r="E4" s="150" t="s">
        <v>464</v>
      </c>
      <c r="F4" s="150" t="s">
        <v>299</v>
      </c>
      <c r="G4" s="150" t="s">
        <v>314</v>
      </c>
      <c r="H4" s="150" t="s">
        <v>465</v>
      </c>
      <c r="I4" s="150" t="s">
        <v>466</v>
      </c>
      <c r="J4" s="150" t="s">
        <v>467</v>
      </c>
      <c r="K4" s="150" t="s">
        <v>468</v>
      </c>
      <c r="L4" s="169"/>
      <c r="M4" s="144"/>
    </row>
    <row r="5" spans="1:13" s="138" customFormat="1" ht="21.75" customHeight="1">
      <c r="A5" s="151" t="s">
        <v>469</v>
      </c>
      <c r="B5" s="152">
        <f>B6+B12+B20</f>
        <v>1690800</v>
      </c>
      <c r="C5" s="152">
        <f>C6+C12+C20</f>
        <v>360768.87</v>
      </c>
      <c r="D5" s="152">
        <f>D6+D12+D20</f>
        <v>144200</v>
      </c>
      <c r="E5" s="152">
        <f>E6+E12+E20</f>
        <v>504968.87</v>
      </c>
      <c r="F5" s="153">
        <f>E5/B5</f>
        <v>0.29865677194227586</v>
      </c>
      <c r="G5" s="152">
        <f>G6+G12</f>
        <v>848938</v>
      </c>
      <c r="H5" s="152">
        <f>H6+H12+H20</f>
        <v>427100</v>
      </c>
      <c r="I5" s="152">
        <f>I6+I12+I20</f>
        <v>503908</v>
      </c>
      <c r="J5" s="152">
        <f>J6+J12+J20</f>
        <v>319670</v>
      </c>
      <c r="K5" s="152">
        <f>K6+K12+K20</f>
        <v>64500</v>
      </c>
      <c r="L5" s="170">
        <f>G5/B5</f>
        <v>0.502092500591436</v>
      </c>
      <c r="M5" s="171"/>
    </row>
    <row r="6" spans="1:13" s="138" customFormat="1" ht="21" customHeight="1">
      <c r="A6" s="151" t="s">
        <v>470</v>
      </c>
      <c r="B6" s="152">
        <f>SUM(B7:B11)</f>
        <v>1390800</v>
      </c>
      <c r="C6" s="152">
        <f>SUM(C7:C11)</f>
        <v>166647</v>
      </c>
      <c r="D6" s="152">
        <f>SUM(D7:D11)</f>
        <v>133536</v>
      </c>
      <c r="E6" s="152">
        <f>SUM(E7:E11)</f>
        <v>300183</v>
      </c>
      <c r="F6" s="153">
        <f aca="true" t="shared" si="0" ref="F6:F39">E6/B6</f>
        <v>0.21583477135461604</v>
      </c>
      <c r="G6" s="152">
        <f>SUM(G7:G11)</f>
        <v>609090</v>
      </c>
      <c r="H6" s="152">
        <f>SUM(H7:H11)</f>
        <v>230090</v>
      </c>
      <c r="I6" s="152">
        <f>SUM(I7:I11)</f>
        <v>209750</v>
      </c>
      <c r="J6" s="152">
        <f>SUM(J7:J11)</f>
        <v>113750</v>
      </c>
      <c r="K6" s="152">
        <f>SUM(K7:K11)</f>
        <v>55500</v>
      </c>
      <c r="L6" s="170">
        <f aca="true" t="shared" si="1" ref="L5:L20">G6/B6</f>
        <v>0.43794219154443487</v>
      </c>
      <c r="M6" s="171"/>
    </row>
    <row r="7" spans="1:13" s="138" customFormat="1" ht="21" customHeight="1">
      <c r="A7" s="151" t="s">
        <v>471</v>
      </c>
      <c r="B7" s="152">
        <f>'[3]6)固定资产及无形资产预算表'!B7+'[4]6)固定资产及无形资产预算表'!B7+'[5]6)固定资产及无形资产预算表'!B7</f>
        <v>72200</v>
      </c>
      <c r="C7" s="152">
        <f>'[3]6)固定资产及无形资产预算表'!C7+'[4]6)固定资产及无形资产预算表'!C7+'[5]6)固定资产及无形资产预算表'!C7</f>
        <v>76067</v>
      </c>
      <c r="D7" s="152">
        <f>'[3]6)固定资产及无形资产预算表'!D7+'[4]6)固定资产及无形资产预算表'!D7+'[5]6)固定资产及无形资产预算表'!D7</f>
        <v>0</v>
      </c>
      <c r="E7" s="152">
        <f aca="true" t="shared" si="2" ref="E7:E11">C7+D7</f>
        <v>76067</v>
      </c>
      <c r="F7" s="153">
        <f t="shared" si="0"/>
        <v>1.0535595567867035</v>
      </c>
      <c r="G7" s="152">
        <f aca="true" t="shared" si="3" ref="G7:G11">SUM(H7:K7)</f>
        <v>270590</v>
      </c>
      <c r="H7" s="152">
        <f>'[3]6)固定资产及无形资产预算表'!H7+'[4]6)固定资产及无形资产预算表'!H7+'[5]6)固定资产及无形资产预算表'!H7</f>
        <v>169090</v>
      </c>
      <c r="I7" s="152">
        <f>'[3]6)固定资产及无形资产预算表'!I7+'[4]6)固定资产及无形资产预算表'!I7+'[5]6)固定资产及无形资产预算表'!I7</f>
        <v>96000</v>
      </c>
      <c r="J7" s="152">
        <f>'[3]6)固定资产及无形资产预算表'!J7+'[4]6)固定资产及无形资产预算表'!J7+'[5]6)固定资产及无形资产预算表'!J7</f>
        <v>0</v>
      </c>
      <c r="K7" s="152">
        <f>'[3]6)固定资产及无形资产预算表'!K7+'[4]6)固定资产及无形资产预算表'!K7+'[5]6)固定资产及无形资产预算表'!K7</f>
        <v>5500</v>
      </c>
      <c r="L7" s="170">
        <f t="shared" si="1"/>
        <v>3.7477839335180057</v>
      </c>
      <c r="M7" s="172" t="s">
        <v>472</v>
      </c>
    </row>
    <row r="8" spans="1:13" s="138" customFormat="1" ht="21" customHeight="1">
      <c r="A8" s="151" t="s">
        <v>473</v>
      </c>
      <c r="B8" s="152">
        <f>'[3]6)固定资产及无形资产预算表'!B8+'[4]6)固定资产及无形资产预算表'!B8+'[5]6)固定资产及无形资产预算表'!B8</f>
        <v>1305000</v>
      </c>
      <c r="C8" s="152">
        <f>'[3]6)固定资产及无形资产预算表'!C8+'[4]6)固定资产及无形资产预算表'!C8+'[5]6)固定资产及无形资产预算表'!C8</f>
        <v>90580</v>
      </c>
      <c r="D8" s="152">
        <f>'[3]6)固定资产及无形资产预算表'!D8+'[4]6)固定资产及无形资产预算表'!D8+'[5]6)固定资产及无形资产预算表'!D8</f>
        <v>124900</v>
      </c>
      <c r="E8" s="152">
        <f t="shared" si="2"/>
        <v>215480</v>
      </c>
      <c r="F8" s="153">
        <f t="shared" si="0"/>
        <v>0.16511877394636015</v>
      </c>
      <c r="G8" s="152">
        <f t="shared" si="3"/>
        <v>327500</v>
      </c>
      <c r="H8" s="152">
        <f>'[3]6)固定资产及无形资产预算表'!H8+'[4]6)固定资产及无形资产预算表'!H8+'[5]6)固定资产及无形资产预算表'!H8</f>
        <v>50000</v>
      </c>
      <c r="I8" s="152">
        <f>'[3]6)固定资产及无形资产预算表'!I8+'[4]6)固定资产及无形资产预算表'!I8+'[5]6)固定资产及无形资产预算表'!I8</f>
        <v>113750</v>
      </c>
      <c r="J8" s="152">
        <f>'[3]6)固定资产及无形资产预算表'!J8+'[4]6)固定资产及无形资产预算表'!J8+'[5]6)固定资产及无形资产预算表'!J8</f>
        <v>113750</v>
      </c>
      <c r="K8" s="152">
        <f>'[3]6)固定资产及无形资产预算表'!K8+'[4]6)固定资产及无形资产预算表'!K8+'[5]6)固定资产及无形资产预算表'!K8</f>
        <v>50000</v>
      </c>
      <c r="L8" s="170">
        <f t="shared" si="1"/>
        <v>0.2509578544061303</v>
      </c>
      <c r="M8" s="172" t="str">
        <f>'[4]6)固定资产及无形资产预算表'!$M$8</f>
        <v>电动三轮保洁车17辆，每辆7500，</v>
      </c>
    </row>
    <row r="9" spans="1:13" s="138" customFormat="1" ht="21" customHeight="1">
      <c r="A9" s="151" t="s">
        <v>474</v>
      </c>
      <c r="B9" s="152">
        <f>'[3]6)固定资产及无形资产预算表'!B9+'[4]6)固定资产及无形资产预算表'!B9+'[5]6)固定资产及无形资产预算表'!B9</f>
        <v>13600</v>
      </c>
      <c r="C9" s="152">
        <f>'[3]6)固定资产及无形资产预算表'!C9+'[4]6)固定资产及无形资产预算表'!C9+'[5]6)固定资产及无形资产预算表'!C9</f>
        <v>0</v>
      </c>
      <c r="D9" s="152">
        <f>'[3]6)固定资产及无形资产预算表'!D9+'[4]6)固定资产及无形资产预算表'!D9+'[5]6)固定资产及无形资产预算表'!D9</f>
        <v>0</v>
      </c>
      <c r="E9" s="152">
        <f t="shared" si="2"/>
        <v>0</v>
      </c>
      <c r="F9" s="153">
        <f t="shared" si="0"/>
        <v>0</v>
      </c>
      <c r="G9" s="152">
        <f t="shared" si="3"/>
        <v>11000</v>
      </c>
      <c r="H9" s="152">
        <f>'[3]6)固定资产及无形资产预算表'!H9+'[4]6)固定资产及无形资产预算表'!H9+'[5]6)固定资产及无形资产预算表'!H9</f>
        <v>11000</v>
      </c>
      <c r="I9" s="152">
        <f>'[3]6)固定资产及无形资产预算表'!I9+'[4]6)固定资产及无形资产预算表'!I9+'[5]6)固定资产及无形资产预算表'!I9</f>
        <v>0</v>
      </c>
      <c r="J9" s="152">
        <f>'[3]6)固定资产及无形资产预算表'!J9+'[4]6)固定资产及无形资产预算表'!J9+'[5]6)固定资产及无形资产预算表'!J9</f>
        <v>0</v>
      </c>
      <c r="K9" s="152">
        <f>'[3]6)固定资产及无形资产预算表'!K9+'[4]6)固定资产及无形资产预算表'!K9+'[5]6)固定资产及无形资产预算表'!K9</f>
        <v>0</v>
      </c>
      <c r="L9" s="170">
        <f t="shared" si="1"/>
        <v>0.8088235294117647</v>
      </c>
      <c r="M9" s="172" t="s">
        <v>475</v>
      </c>
    </row>
    <row r="10" spans="1:13" s="138" customFormat="1" ht="21" customHeight="1">
      <c r="A10" s="151" t="s">
        <v>476</v>
      </c>
      <c r="B10" s="152">
        <f>'[3]6)固定资产及无形资产预算表'!B10+'[4]6)固定资产及无形资产预算表'!B10+'[5]6)固定资产及无形资产预算表'!B10</f>
        <v>0</v>
      </c>
      <c r="C10" s="152">
        <f>'[3]6)固定资产及无形资产预算表'!C10+'[4]6)固定资产及无形资产预算表'!C10+'[5]6)固定资产及无形资产预算表'!C10</f>
        <v>0</v>
      </c>
      <c r="D10" s="152">
        <f>'[3]6)固定资产及无形资产预算表'!D10+'[4]6)固定资产及无形资产预算表'!D10+'[5]6)固定资产及无形资产预算表'!D10</f>
        <v>0</v>
      </c>
      <c r="E10" s="152">
        <f t="shared" si="2"/>
        <v>0</v>
      </c>
      <c r="F10" s="153" t="e">
        <f t="shared" si="0"/>
        <v>#DIV/0!</v>
      </c>
      <c r="G10" s="152">
        <f t="shared" si="3"/>
        <v>0</v>
      </c>
      <c r="H10" s="152">
        <f>'[3]6)固定资产及无形资产预算表'!H10+'[4]6)固定资产及无形资产预算表'!H10+'[5]6)固定资产及无形资产预算表'!H10</f>
        <v>0</v>
      </c>
      <c r="I10" s="152">
        <f>'[3]6)固定资产及无形资产预算表'!I10+'[4]6)固定资产及无形资产预算表'!I10+'[5]6)固定资产及无形资产预算表'!I10</f>
        <v>0</v>
      </c>
      <c r="J10" s="152">
        <f>'[3]6)固定资产及无形资产预算表'!J10+'[4]6)固定资产及无形资产预算表'!J10+'[5]6)固定资产及无形资产预算表'!J10</f>
        <v>0</v>
      </c>
      <c r="K10" s="152">
        <f>'[3]6)固定资产及无形资产预算表'!K10+'[4]6)固定资产及无形资产预算表'!K10+'[5]6)固定资产及无形资产预算表'!K10</f>
        <v>0</v>
      </c>
      <c r="L10" s="170" t="e">
        <f t="shared" si="1"/>
        <v>#DIV/0!</v>
      </c>
      <c r="M10" s="172"/>
    </row>
    <row r="11" spans="1:13" s="138" customFormat="1" ht="21" customHeight="1">
      <c r="A11" s="151" t="s">
        <v>477</v>
      </c>
      <c r="B11" s="152">
        <f>'[3]6)固定资产及无形资产预算表'!B11+'[4]6)固定资产及无形资产预算表'!B11+'[5]6)固定资产及无形资产预算表'!B11</f>
        <v>0</v>
      </c>
      <c r="C11" s="152">
        <f>'[3]6)固定资产及无形资产预算表'!C11+'[4]6)固定资产及无形资产预算表'!C10+'[5]6)固定资产及无形资产预算表'!C11</f>
        <v>0</v>
      </c>
      <c r="D11" s="152">
        <f>'[3]6)固定资产及无形资产预算表'!D11+'[4]6)固定资产及无形资产预算表'!D10+'[5]6)固定资产及无形资产预算表'!D11</f>
        <v>8636</v>
      </c>
      <c r="E11" s="152">
        <f t="shared" si="2"/>
        <v>8636</v>
      </c>
      <c r="F11" s="153" t="e">
        <f t="shared" si="0"/>
        <v>#DIV/0!</v>
      </c>
      <c r="G11" s="152">
        <f t="shared" si="3"/>
        <v>0</v>
      </c>
      <c r="H11" s="152">
        <f>'[3]6)固定资产及无形资产预算表'!H11+'[4]6)固定资产及无形资产预算表'!H11+'[5]6)固定资产及无形资产预算表'!H11</f>
        <v>0</v>
      </c>
      <c r="I11" s="152">
        <f>'[3]6)固定资产及无形资产预算表'!I11+'[4]6)固定资产及无形资产预算表'!I11+'[5]6)固定资产及无形资产预算表'!I11</f>
        <v>0</v>
      </c>
      <c r="J11" s="152">
        <f>'[3]6)固定资产及无形资产预算表'!J11+'[4]6)固定资产及无形资产预算表'!J11+'[5]6)固定资产及无形资产预算表'!J11</f>
        <v>0</v>
      </c>
      <c r="K11" s="152">
        <f>'[3]6)固定资产及无形资产预算表'!K11+'[4]6)固定资产及无形资产预算表'!K11+'[5]6)固定资产及无形资产预算表'!K11</f>
        <v>0</v>
      </c>
      <c r="L11" s="170" t="e">
        <f t="shared" si="1"/>
        <v>#DIV/0!</v>
      </c>
      <c r="M11" s="172"/>
    </row>
    <row r="12" spans="1:13" s="138" customFormat="1" ht="21" customHeight="1">
      <c r="A12" s="151" t="s">
        <v>478</v>
      </c>
      <c r="B12" s="152">
        <f>SUM(B13:B19)</f>
        <v>300000</v>
      </c>
      <c r="C12" s="152">
        <f>SUM(C13:C19)</f>
        <v>194121.87</v>
      </c>
      <c r="D12" s="152">
        <f>SUM(D13:D19)</f>
        <v>0</v>
      </c>
      <c r="E12" s="152">
        <f>SUM(E13:E19)</f>
        <v>194121.87</v>
      </c>
      <c r="F12" s="153">
        <f t="shared" si="0"/>
        <v>0.6470729</v>
      </c>
      <c r="G12" s="152">
        <f>SUM(G13:G19)</f>
        <v>239848</v>
      </c>
      <c r="H12" s="152">
        <f>SUM(H13:H19)</f>
        <v>183410</v>
      </c>
      <c r="I12" s="152">
        <f>SUM(I13:I19)</f>
        <v>56438</v>
      </c>
      <c r="J12" s="152">
        <f>SUM(J13:J19)</f>
        <v>0</v>
      </c>
      <c r="K12" s="152">
        <f>SUM(K13:K19)</f>
        <v>0</v>
      </c>
      <c r="L12" s="170">
        <f t="shared" si="1"/>
        <v>0.7994933333333333</v>
      </c>
      <c r="M12" s="172"/>
    </row>
    <row r="13" spans="1:13" s="138" customFormat="1" ht="21" customHeight="1">
      <c r="A13" s="151" t="s">
        <v>479</v>
      </c>
      <c r="B13" s="152">
        <f>'[3]6)固定资产及无形资产预算表'!B13+'[4]6)固定资产及无形资产预算表'!B13+'[5]6)固定资产及无形资产预算表'!B13</f>
        <v>0</v>
      </c>
      <c r="C13" s="152">
        <f>'[3]6)固定资产及无形资产预算表'!C13+'[4]6)固定资产及无形资产预算表'!C12+'[5]6)固定资产及无形资产预算表'!C13</f>
        <v>18000</v>
      </c>
      <c r="D13" s="152">
        <f>'[3]6)固定资产及无形资产预算表'!D13+'[4]6)固定资产及无形资产预算表'!D12+'[5]6)固定资产及无形资产预算表'!D13</f>
        <v>0</v>
      </c>
      <c r="E13" s="152">
        <f aca="true" t="shared" si="4" ref="E13:E19">C13+D13</f>
        <v>18000</v>
      </c>
      <c r="F13" s="153" t="e">
        <f t="shared" si="0"/>
        <v>#DIV/0!</v>
      </c>
      <c r="G13" s="152">
        <f aca="true" t="shared" si="5" ref="G13:G19">SUM(H13:K13)</f>
        <v>0</v>
      </c>
      <c r="H13" s="152">
        <f>'[3]6)固定资产及无形资产预算表'!H13+'[4]6)固定资产及无形资产预算表'!H13+'[5]6)固定资产及无形资产预算表'!H13</f>
        <v>0</v>
      </c>
      <c r="I13" s="152">
        <f>'[3]6)固定资产及无形资产预算表'!I13+'[4]6)固定资产及无形资产预算表'!I13+'[5]6)固定资产及无形资产预算表'!I13</f>
        <v>0</v>
      </c>
      <c r="J13" s="152">
        <f>'[3]6)固定资产及无形资产预算表'!J13+'[4]6)固定资产及无形资产预算表'!J13+'[5]6)固定资产及无形资产预算表'!J13</f>
        <v>0</v>
      </c>
      <c r="K13" s="152">
        <f>'[3]6)固定资产及无形资产预算表'!K13+'[4]6)固定资产及无形资产预算表'!K13+'[5]6)固定资产及无形资产预算表'!K13</f>
        <v>0</v>
      </c>
      <c r="L13" s="170" t="e">
        <f t="shared" si="1"/>
        <v>#DIV/0!</v>
      </c>
      <c r="M13" s="172"/>
    </row>
    <row r="14" spans="1:13" s="138" customFormat="1" ht="21" customHeight="1">
      <c r="A14" s="151" t="s">
        <v>480</v>
      </c>
      <c r="B14" s="152">
        <f>'[3]6)固定资产及无形资产预算表'!B14+'[4]6)固定资产及无形资产预算表'!B14+'[5]6)固定资产及无形资产预算表'!B14</f>
        <v>0</v>
      </c>
      <c r="C14" s="152">
        <f>'[3]6)固定资产及无形资产预算表'!C14+'[4]6)固定资产及无形资产预算表'!C13+'[5]6)固定资产及无形资产预算表'!C14</f>
        <v>0</v>
      </c>
      <c r="D14" s="152">
        <f>'[3]6)固定资产及无形资产预算表'!D14+'[4]6)固定资产及无形资产预算表'!D13+'[5]6)固定资产及无形资产预算表'!D14</f>
        <v>0</v>
      </c>
      <c r="E14" s="152">
        <f t="shared" si="4"/>
        <v>0</v>
      </c>
      <c r="F14" s="153" t="e">
        <f t="shared" si="0"/>
        <v>#DIV/0!</v>
      </c>
      <c r="G14" s="152">
        <f t="shared" si="5"/>
        <v>0</v>
      </c>
      <c r="H14" s="152">
        <f>'[3]6)固定资产及无形资产预算表'!H14+'[4]6)固定资产及无形资产预算表'!H14+'[5]6)固定资产及无形资产预算表'!H14</f>
        <v>0</v>
      </c>
      <c r="I14" s="152">
        <f>'[3]6)固定资产及无形资产预算表'!I14+'[4]6)固定资产及无形资产预算表'!I14+'[5]6)固定资产及无形资产预算表'!I14</f>
        <v>0</v>
      </c>
      <c r="J14" s="152">
        <f>'[3]6)固定资产及无形资产预算表'!J14+'[4]6)固定资产及无形资产预算表'!J14+'[5]6)固定资产及无形资产预算表'!J14</f>
        <v>0</v>
      </c>
      <c r="K14" s="152">
        <f>'[3]6)固定资产及无形资产预算表'!K14+'[4]6)固定资产及无形资产预算表'!K14+'[5]6)固定资产及无形资产预算表'!K14</f>
        <v>0</v>
      </c>
      <c r="L14" s="170" t="e">
        <f t="shared" si="1"/>
        <v>#DIV/0!</v>
      </c>
      <c r="M14" s="172"/>
    </row>
    <row r="15" spans="1:13" s="138" customFormat="1" ht="21" customHeight="1">
      <c r="A15" s="151" t="s">
        <v>481</v>
      </c>
      <c r="B15" s="152">
        <f>'[3]6)固定资产及无形资产预算表'!B15+'[4]6)固定资产及无形资产预算表'!B15+'[5]6)固定资产及无形资产预算表'!B15</f>
        <v>0</v>
      </c>
      <c r="C15" s="152">
        <f>'[3]6)固定资产及无形资产预算表'!C15+'[4]6)固定资产及无形资产预算表'!C14+'[5]6)固定资产及无形资产预算表'!C15</f>
        <v>0</v>
      </c>
      <c r="D15" s="152">
        <f>'[3]6)固定资产及无形资产预算表'!D15+'[4]6)固定资产及无形资产预算表'!D14+'[5]6)固定资产及无形资产预算表'!D15</f>
        <v>0</v>
      </c>
      <c r="E15" s="152">
        <f t="shared" si="4"/>
        <v>0</v>
      </c>
      <c r="F15" s="153" t="e">
        <f t="shared" si="0"/>
        <v>#DIV/0!</v>
      </c>
      <c r="G15" s="152">
        <f t="shared" si="5"/>
        <v>0</v>
      </c>
      <c r="H15" s="152">
        <f>'[3]6)固定资产及无形资产预算表'!H15+'[4]6)固定资产及无形资产预算表'!H15+'[5]6)固定资产及无形资产预算表'!H15</f>
        <v>0</v>
      </c>
      <c r="I15" s="152">
        <f>'[3]6)固定资产及无形资产预算表'!I15+'[4]6)固定资产及无形资产预算表'!I15+'[5]6)固定资产及无形资产预算表'!I15</f>
        <v>0</v>
      </c>
      <c r="J15" s="152">
        <f>'[3]6)固定资产及无形资产预算表'!J15+'[4]6)固定资产及无形资产预算表'!J15+'[5]6)固定资产及无形资产预算表'!J15</f>
        <v>0</v>
      </c>
      <c r="K15" s="152">
        <f>'[3]6)固定资产及无形资产预算表'!K15+'[4]6)固定资产及无形资产预算表'!K15+'[5]6)固定资产及无形资产预算表'!K15</f>
        <v>0</v>
      </c>
      <c r="L15" s="170" t="e">
        <f t="shared" si="1"/>
        <v>#DIV/0!</v>
      </c>
      <c r="M15" s="172"/>
    </row>
    <row r="16" spans="1:13" s="138" customFormat="1" ht="21" customHeight="1">
      <c r="A16" s="151" t="s">
        <v>482</v>
      </c>
      <c r="B16" s="152">
        <f>'[3]6)固定资产及无形资产预算表'!B16+'[4]6)固定资产及无形资产预算表'!B16+'[5]6)固定资产及无形资产预算表'!B16</f>
        <v>5000</v>
      </c>
      <c r="C16" s="152">
        <f>'[3]6)固定资产及无形资产预算表'!C16+'[4]6)固定资产及无形资产预算表'!C15+'[5]6)固定资产及无形资产预算表'!C16</f>
        <v>0</v>
      </c>
      <c r="D16" s="152">
        <f>'[3]6)固定资产及无形资产预算表'!D16+'[4]6)固定资产及无形资产预算表'!D15+'[5]6)固定资产及无形资产预算表'!D16</f>
        <v>0</v>
      </c>
      <c r="E16" s="152">
        <f t="shared" si="4"/>
        <v>0</v>
      </c>
      <c r="F16" s="153">
        <f t="shared" si="0"/>
        <v>0</v>
      </c>
      <c r="G16" s="152">
        <f t="shared" si="5"/>
        <v>0</v>
      </c>
      <c r="H16" s="152">
        <f>'[3]6)固定资产及无形资产预算表'!H16+'[4]6)固定资产及无形资产预算表'!H16+'[5]6)固定资产及无形资产预算表'!H16</f>
        <v>0</v>
      </c>
      <c r="I16" s="152">
        <f>'[3]6)固定资产及无形资产预算表'!I16+'[4]6)固定资产及无形资产预算表'!I16+'[5]6)固定资产及无形资产预算表'!I16</f>
        <v>0</v>
      </c>
      <c r="J16" s="152">
        <f>'[3]6)固定资产及无形资产预算表'!J16+'[4]6)固定资产及无形资产预算表'!J16+'[5]6)固定资产及无形资产预算表'!J16</f>
        <v>0</v>
      </c>
      <c r="K16" s="152">
        <f>'[3]6)固定资产及无形资产预算表'!K16+'[4]6)固定资产及无形资产预算表'!K16+'[5]6)固定资产及无形资产预算表'!K16</f>
        <v>0</v>
      </c>
      <c r="L16" s="170">
        <f t="shared" si="1"/>
        <v>0</v>
      </c>
      <c r="M16" s="172"/>
    </row>
    <row r="17" spans="1:13" s="138" customFormat="1" ht="21" customHeight="1">
      <c r="A17" s="151" t="s">
        <v>483</v>
      </c>
      <c r="B17" s="152">
        <f>'[3]6)固定资产及无形资产预算表'!B17+'[4]6)固定资产及无形资产预算表'!B17+'[5]6)固定资产及无形资产预算表'!B17</f>
        <v>0</v>
      </c>
      <c r="C17" s="152">
        <f>'[3]6)固定资产及无形资产预算表'!C17+'[4]6)固定资产及无形资产预算表'!C16+'[5]6)固定资产及无形资产预算表'!C17</f>
        <v>0</v>
      </c>
      <c r="D17" s="152">
        <f>'[3]6)固定资产及无形资产预算表'!D17+'[4]6)固定资产及无形资产预算表'!D16+'[5]6)固定资产及无形资产预算表'!D17</f>
        <v>0</v>
      </c>
      <c r="E17" s="152">
        <f t="shared" si="4"/>
        <v>0</v>
      </c>
      <c r="F17" s="153" t="e">
        <f t="shared" si="0"/>
        <v>#DIV/0!</v>
      </c>
      <c r="G17" s="152">
        <f t="shared" si="5"/>
        <v>0</v>
      </c>
      <c r="H17" s="152">
        <f>'[3]6)固定资产及无形资产预算表'!H17+'[4]6)固定资产及无形资产预算表'!H17+'[5]6)固定资产及无形资产预算表'!H17</f>
        <v>0</v>
      </c>
      <c r="I17" s="152">
        <f>'[3]6)固定资产及无形资产预算表'!I17+'[4]6)固定资产及无形资产预算表'!I17+'[5]6)固定资产及无形资产预算表'!I17</f>
        <v>0</v>
      </c>
      <c r="J17" s="152">
        <f>'[3]6)固定资产及无形资产预算表'!J17+'[4]6)固定资产及无形资产预算表'!J17+'[5]6)固定资产及无形资产预算表'!J17</f>
        <v>0</v>
      </c>
      <c r="K17" s="152">
        <f>'[3]6)固定资产及无形资产预算表'!K17+'[4]6)固定资产及无形资产预算表'!K17+'[5]6)固定资产及无形资产预算表'!K17</f>
        <v>0</v>
      </c>
      <c r="L17" s="170" t="e">
        <f t="shared" si="1"/>
        <v>#DIV/0!</v>
      </c>
      <c r="M17" s="172"/>
    </row>
    <row r="18" spans="1:13" s="138" customFormat="1" ht="21" customHeight="1">
      <c r="A18" s="151" t="s">
        <v>484</v>
      </c>
      <c r="B18" s="152">
        <f>'[3]6)固定资产及无形资产预算表'!B18+'[4]6)固定资产及无形资产预算表'!B18+'[5]6)固定资产及无形资产预算表'!B18</f>
        <v>45000</v>
      </c>
      <c r="C18" s="152">
        <f>'[3]6)固定资产及无形资产预算表'!C18+'[4]6)固定资产及无形资产预算表'!C17+'[5]6)固定资产及无形资产预算表'!C18</f>
        <v>0</v>
      </c>
      <c r="D18" s="152">
        <f>'[3]6)固定资产及无形资产预算表'!D18+'[4]6)固定资产及无形资产预算表'!D17+'[5]6)固定资产及无形资产预算表'!D18</f>
        <v>0</v>
      </c>
      <c r="E18" s="152">
        <f t="shared" si="4"/>
        <v>0</v>
      </c>
      <c r="F18" s="153">
        <f t="shared" si="0"/>
        <v>0</v>
      </c>
      <c r="G18" s="152">
        <f t="shared" si="5"/>
        <v>150000</v>
      </c>
      <c r="H18" s="152">
        <f>'[3]6)固定资产及无形资产预算表'!H18+'[4]6)固定资产及无形资产预算表'!H18+'[5]6)固定资产及无形资产预算表'!H18</f>
        <v>150000</v>
      </c>
      <c r="I18" s="152">
        <f>'[3]6)固定资产及无形资产预算表'!I18+'[4]6)固定资产及无形资产预算表'!I18+'[5]6)固定资产及无形资产预算表'!I18</f>
        <v>0</v>
      </c>
      <c r="J18" s="152">
        <f>'[3]6)固定资产及无形资产预算表'!J18+'[4]6)固定资产及无形资产预算表'!J18+'[5]6)固定资产及无形资产预算表'!J18</f>
        <v>0</v>
      </c>
      <c r="K18" s="152">
        <f>'[3]6)固定资产及无形资产预算表'!K18+'[4]6)固定资产及无形资产预算表'!K18+'[5]6)固定资产及无形资产预算表'!K18</f>
        <v>0</v>
      </c>
      <c r="L18" s="170">
        <f t="shared" si="1"/>
        <v>3.3333333333333335</v>
      </c>
      <c r="M18" s="172" t="s">
        <v>485</v>
      </c>
    </row>
    <row r="19" spans="1:13" s="138" customFormat="1" ht="21" customHeight="1">
      <c r="A19" s="151" t="s">
        <v>486</v>
      </c>
      <c r="B19" s="152">
        <f>'[3]6)固定资产及无形资产预算表'!B19+'[4]6)固定资产及无形资产预算表'!B19+'[5]6)固定资产及无形资产预算表'!B19</f>
        <v>250000</v>
      </c>
      <c r="C19" s="152">
        <f>'[3]6)固定资产及无形资产预算表'!C19+'[4]6)固定资产及无形资产预算表'!C18+'[5]6)固定资产及无形资产预算表'!C19</f>
        <v>176121.87</v>
      </c>
      <c r="D19" s="152">
        <f>'[3]6)固定资产及无形资产预算表'!D19+'[4]6)固定资产及无形资产预算表'!D18+'[5]6)固定资产及无形资产预算表'!D19</f>
        <v>0</v>
      </c>
      <c r="E19" s="152">
        <f t="shared" si="4"/>
        <v>176121.87</v>
      </c>
      <c r="F19" s="153">
        <f t="shared" si="0"/>
        <v>0.7044874799999999</v>
      </c>
      <c r="G19" s="152">
        <f t="shared" si="5"/>
        <v>89848</v>
      </c>
      <c r="H19" s="152">
        <f>'[3]6)固定资产及无形资产预算表'!H19+'[4]6)固定资产及无形资产预算表'!H19+'[5]6)固定资产及无形资产预算表'!H19</f>
        <v>33410</v>
      </c>
      <c r="I19" s="152">
        <f>'[3]6)固定资产及无形资产预算表'!I19+'[4]6)固定资产及无形资产预算表'!I19+'[5]6)固定资产及无形资产预算表'!I19</f>
        <v>56438</v>
      </c>
      <c r="J19" s="152">
        <f>'[3]6)固定资产及无形资产预算表'!J19+'[4]6)固定资产及无形资产预算表'!J19+'[5]6)固定资产及无形资产预算表'!J19</f>
        <v>0</v>
      </c>
      <c r="K19" s="152">
        <f>'[3]6)固定资产及无形资产预算表'!K19+'[4]6)固定资产及无形资产预算表'!K19+'[5]6)固定资产及无形资产预算表'!K19</f>
        <v>0</v>
      </c>
      <c r="L19" s="170">
        <f t="shared" si="1"/>
        <v>0.359392</v>
      </c>
      <c r="M19" s="172" t="s">
        <v>487</v>
      </c>
    </row>
    <row r="20" spans="1:13" s="138" customFormat="1" ht="21" customHeight="1">
      <c r="A20" s="151" t="s">
        <v>488</v>
      </c>
      <c r="B20" s="152">
        <f>SUM(B21:B27)</f>
        <v>0</v>
      </c>
      <c r="C20" s="152">
        <f>SUM(C21:C27)</f>
        <v>0</v>
      </c>
      <c r="D20" s="152">
        <f>SUM(D21:D27)</f>
        <v>10664</v>
      </c>
      <c r="E20" s="152">
        <f>SUM(E21:E27)</f>
        <v>10664</v>
      </c>
      <c r="F20" s="153" t="e">
        <f t="shared" si="0"/>
        <v>#DIV/0!</v>
      </c>
      <c r="G20" s="152">
        <f>SUM(G21:G27)</f>
        <v>466240</v>
      </c>
      <c r="H20" s="152">
        <f>SUM(H21:H27)</f>
        <v>13600</v>
      </c>
      <c r="I20" s="152">
        <f>SUM(I21:I27)</f>
        <v>237720</v>
      </c>
      <c r="J20" s="152">
        <f>SUM(J21:J27)</f>
        <v>205920</v>
      </c>
      <c r="K20" s="152">
        <f>SUM(K21:K27)</f>
        <v>9000</v>
      </c>
      <c r="L20" s="170" t="e">
        <f t="shared" si="1"/>
        <v>#DIV/0!</v>
      </c>
      <c r="M20" s="172" t="s">
        <v>489</v>
      </c>
    </row>
    <row r="21" spans="1:13" s="138" customFormat="1" ht="21" customHeight="1">
      <c r="A21" s="151" t="s">
        <v>490</v>
      </c>
      <c r="B21" s="152">
        <f>'[3]6)固定资产及无形资产预算表'!B21+'[4]6)固定资产及无形资产预算表'!B20+'[5]6)固定资产及无形资产预算表'!B21</f>
        <v>0</v>
      </c>
      <c r="C21" s="152">
        <f>'[3]6)固定资产及无形资产预算表'!C21+'[4]6)固定资产及无形资产预算表'!C20+'[5]6)固定资产及无形资产预算表'!C21</f>
        <v>0</v>
      </c>
      <c r="D21" s="152">
        <f>'[3]6)固定资产及无形资产预算表'!D21+'[4]6)固定资产及无形资产预算表'!D20+'[5]6)固定资产及无形资产预算表'!D21</f>
        <v>10664</v>
      </c>
      <c r="E21" s="152">
        <f aca="true" t="shared" si="6" ref="E21:E27">C21+D21</f>
        <v>10664</v>
      </c>
      <c r="F21" s="153" t="e">
        <f t="shared" si="0"/>
        <v>#DIV/0!</v>
      </c>
      <c r="G21" s="152">
        <f aca="true" t="shared" si="7" ref="G21:G30">SUM(H21:K21)</f>
        <v>214820</v>
      </c>
      <c r="H21" s="152">
        <f>'[3]6)固定资产及无形资产预算表'!H21+'[4]6)固定资产及无形资产预算表'!H20+'[5]6)固定资产及无形资产预算表'!H21</f>
        <v>2800</v>
      </c>
      <c r="I21" s="152">
        <f>'[3]6)固定资产及无形资产预算表'!I21+'[4]6)固定资产及无形资产预算表'!I20+'[5]6)固定资产及无形资产预算表'!I21</f>
        <v>112310</v>
      </c>
      <c r="J21" s="152">
        <f>'[3]6)固定资产及无形资产预算表'!J21+'[4]6)固定资产及无形资产预算表'!J20+'[5]6)固定资产及无形资产预算表'!J21</f>
        <v>98210</v>
      </c>
      <c r="K21" s="152">
        <f>'[3]6)固定资产及无形资产预算表'!K21+'[4]6)固定资产及无形资产预算表'!K20+'[5]6)固定资产及无形资产预算表'!K21</f>
        <v>1500</v>
      </c>
      <c r="L21" s="170" t="e">
        <f>H21/B21</f>
        <v>#DIV/0!</v>
      </c>
      <c r="M21" s="173" t="s">
        <v>491</v>
      </c>
    </row>
    <row r="22" spans="1:13" s="138" customFormat="1" ht="21" customHeight="1">
      <c r="A22" s="151" t="s">
        <v>492</v>
      </c>
      <c r="B22" s="152">
        <f>'[3]6)固定资产及无形资产预算表'!B22+'[4]6)固定资产及无形资产预算表'!B21+'[5]6)固定资产及无形资产预算表'!B22</f>
        <v>0</v>
      </c>
      <c r="C22" s="152">
        <f>'[3]6)固定资产及无形资产预算表'!C22+'[4]6)固定资产及无形资产预算表'!C21+'[5]6)固定资产及无形资产预算表'!C22</f>
        <v>0</v>
      </c>
      <c r="D22" s="152">
        <f>'[3]6)固定资产及无形资产预算表'!D22+'[4]6)固定资产及无形资产预算表'!D21+'[5]6)固定资产及无形资产预算表'!D22</f>
        <v>0</v>
      </c>
      <c r="E22" s="152">
        <f t="shared" si="6"/>
        <v>0</v>
      </c>
      <c r="F22" s="153" t="e">
        <f t="shared" si="0"/>
        <v>#DIV/0!</v>
      </c>
      <c r="G22" s="152">
        <f t="shared" si="7"/>
        <v>11200</v>
      </c>
      <c r="H22" s="152">
        <f>'[3]6)固定资产及无形资产预算表'!H22+'[4]6)固定资产及无形资产预算表'!H21+'[5]6)固定资产及无形资产预算表'!H22</f>
        <v>4800</v>
      </c>
      <c r="I22" s="152">
        <f>'[3]6)固定资产及无形资产预算表'!I22+'[4]6)固定资产及无形资产预算表'!I21+'[5]6)固定资产及无形资产预算表'!I22</f>
        <v>5900</v>
      </c>
      <c r="J22" s="152">
        <f>'[3]6)固定资产及无形资产预算表'!J22+'[4]6)固定资产及无形资产预算表'!J21+'[5]6)固定资产及无形资产预算表'!J22</f>
        <v>500</v>
      </c>
      <c r="K22" s="152">
        <f>'[3]6)固定资产及无形资产预算表'!K22+'[4]6)固定资产及无形资产预算表'!K21+'[5]6)固定资产及无形资产预算表'!K22</f>
        <v>0</v>
      </c>
      <c r="L22" s="170" t="e">
        <f aca="true" t="shared" si="8" ref="L22:L27">G22/B22</f>
        <v>#DIV/0!</v>
      </c>
      <c r="M22" s="173" t="s">
        <v>493</v>
      </c>
    </row>
    <row r="23" spans="1:13" s="138" customFormat="1" ht="21" customHeight="1">
      <c r="A23" s="151" t="s">
        <v>494</v>
      </c>
      <c r="B23" s="152">
        <f>'[3]6)固定资产及无形资产预算表'!B23+'[4]6)固定资产及无形资产预算表'!B22+'[5]6)固定资产及无形资产预算表'!B23</f>
        <v>0</v>
      </c>
      <c r="C23" s="152">
        <f>'[3]6)固定资产及无形资产预算表'!C23+'[4]6)固定资产及无形资产预算表'!C22+'[5]6)固定资产及无形资产预算表'!C23</f>
        <v>0</v>
      </c>
      <c r="D23" s="152">
        <f>'[3]6)固定资产及无形资产预算表'!D23+'[4]6)固定资产及无形资产预算表'!D22+'[5]6)固定资产及无形资产预算表'!D23</f>
        <v>0</v>
      </c>
      <c r="E23" s="152">
        <f t="shared" si="6"/>
        <v>0</v>
      </c>
      <c r="F23" s="153" t="e">
        <f t="shared" si="0"/>
        <v>#DIV/0!</v>
      </c>
      <c r="G23" s="152">
        <f t="shared" si="7"/>
        <v>0</v>
      </c>
      <c r="H23" s="152">
        <f>'[3]6)固定资产及无形资产预算表'!H23+'[4]6)固定资产及无形资产预算表'!H22+'[5]6)固定资产及无形资产预算表'!H23</f>
        <v>0</v>
      </c>
      <c r="I23" s="152">
        <f>'[3]6)固定资产及无形资产预算表'!I23+'[4]6)固定资产及无形资产预算表'!I22+'[5]6)固定资产及无形资产预算表'!I23</f>
        <v>0</v>
      </c>
      <c r="J23" s="152">
        <f>'[3]6)固定资产及无形资产预算表'!J23+'[4]6)固定资产及无形资产预算表'!J22+'[5]6)固定资产及无形资产预算表'!J23</f>
        <v>0</v>
      </c>
      <c r="K23" s="152">
        <f>'[3]6)固定资产及无形资产预算表'!K23+'[4]6)固定资产及无形资产预算表'!K22+'[5]6)固定资产及无形资产预算表'!K23</f>
        <v>0</v>
      </c>
      <c r="L23" s="170" t="e">
        <f t="shared" si="8"/>
        <v>#DIV/0!</v>
      </c>
      <c r="M23" s="172"/>
    </row>
    <row r="24" spans="1:13" s="138" customFormat="1" ht="21" customHeight="1">
      <c r="A24" s="151" t="s">
        <v>495</v>
      </c>
      <c r="B24" s="152">
        <f>'[3]6)固定资产及无形资产预算表'!B24+'[4]6)固定资产及无形资产预算表'!B23+'[5]6)固定资产及无形资产预算表'!B24</f>
        <v>0</v>
      </c>
      <c r="C24" s="152">
        <f>'[3]6)固定资产及无形资产预算表'!C24+'[4]6)固定资产及无形资产预算表'!C23+'[5]6)固定资产及无形资产预算表'!C24</f>
        <v>0</v>
      </c>
      <c r="D24" s="152">
        <f>'[3]6)固定资产及无形资产预算表'!D24+'[4]6)固定资产及无形资产预算表'!D23+'[5]6)固定资产及无形资产预算表'!D24</f>
        <v>0</v>
      </c>
      <c r="E24" s="152">
        <f t="shared" si="6"/>
        <v>0</v>
      </c>
      <c r="F24" s="153" t="e">
        <f t="shared" si="0"/>
        <v>#DIV/0!</v>
      </c>
      <c r="G24" s="152">
        <f t="shared" si="7"/>
        <v>0</v>
      </c>
      <c r="H24" s="152">
        <f>'[3]6)固定资产及无形资产预算表'!H24+'[4]6)固定资产及无形资产预算表'!H23+'[5]6)固定资产及无形资产预算表'!H24</f>
        <v>0</v>
      </c>
      <c r="I24" s="152">
        <f>'[3]6)固定资产及无形资产预算表'!I24+'[4]6)固定资产及无形资产预算表'!I23+'[5]6)固定资产及无形资产预算表'!I24</f>
        <v>0</v>
      </c>
      <c r="J24" s="152">
        <f>'[3]6)固定资产及无形资产预算表'!J24+'[4]6)固定资产及无形资产预算表'!J23+'[5]6)固定资产及无形资产预算表'!J24</f>
        <v>0</v>
      </c>
      <c r="K24" s="152">
        <f>'[3]6)固定资产及无形资产预算表'!K24+'[4]6)固定资产及无形资产预算表'!K23+'[5]6)固定资产及无形资产预算表'!K24</f>
        <v>0</v>
      </c>
      <c r="L24" s="170" t="e">
        <f t="shared" si="8"/>
        <v>#DIV/0!</v>
      </c>
      <c r="M24" s="172"/>
    </row>
    <row r="25" spans="1:13" s="138" customFormat="1" ht="21" customHeight="1">
      <c r="A25" s="151" t="str">
        <f>'[3]6)固定资产及无形资产预算表'!A25</f>
        <v>      凭证文件柜</v>
      </c>
      <c r="B25" s="152">
        <f>'[3]6)固定资产及无形资产预算表'!B25</f>
        <v>0</v>
      </c>
      <c r="C25" s="152">
        <f>'[3]6)固定资产及无形资产预算表'!C25</f>
        <v>0</v>
      </c>
      <c r="D25" s="152">
        <f>'[3]6)固定资产及无形资产预算表'!D25</f>
        <v>0</v>
      </c>
      <c r="E25" s="152">
        <f t="shared" si="6"/>
        <v>0</v>
      </c>
      <c r="F25" s="153" t="e">
        <f t="shared" si="0"/>
        <v>#DIV/0!</v>
      </c>
      <c r="G25" s="152">
        <f t="shared" si="7"/>
        <v>31500</v>
      </c>
      <c r="H25" s="152">
        <f>'[3]6)固定资产及无形资产预算表'!H25+'[4]6)固定资产及无形资产预算表'!H24+'[5]6)固定资产及无形资产预算表'!H25</f>
        <v>6000</v>
      </c>
      <c r="I25" s="152">
        <f>'[3]6)固定资产及无形资产预算表'!I25+'[4]6)固定资产及无形资产预算表'!I24+'[5]6)固定资产及无形资产预算表'!I25</f>
        <v>9000</v>
      </c>
      <c r="J25" s="152">
        <f>'[3]6)固定资产及无形资产预算表'!J25+'[4]6)固定资产及无形资产预算表'!J24+'[5]6)固定资产及无形资产预算表'!J25</f>
        <v>9000</v>
      </c>
      <c r="K25" s="152">
        <f>'[3]6)固定资产及无形资产预算表'!K25+'[4]6)固定资产及无形资产预算表'!K24+'[5]6)固定资产及无形资产预算表'!K25</f>
        <v>7500</v>
      </c>
      <c r="L25" s="170" t="e">
        <f t="shared" si="8"/>
        <v>#DIV/0!</v>
      </c>
      <c r="M25" s="172" t="s">
        <v>496</v>
      </c>
    </row>
    <row r="26" spans="1:13" s="138" customFormat="1" ht="21" customHeight="1">
      <c r="A26" s="151" t="str">
        <f>'[4]6)固定资产及无形资产预算表'!A25</f>
        <v>    环卫设施</v>
      </c>
      <c r="B26" s="152">
        <f>'[4]6)固定资产及无形资产预算表'!B25</f>
        <v>0</v>
      </c>
      <c r="C26" s="152">
        <f>'[4]6)固定资产及无形资产预算表'!C25</f>
        <v>0</v>
      </c>
      <c r="D26" s="152">
        <f>'[4]6)固定资产及无形资产预算表'!D25</f>
        <v>0</v>
      </c>
      <c r="E26" s="152">
        <f t="shared" si="6"/>
        <v>0</v>
      </c>
      <c r="F26" s="153" t="e">
        <f t="shared" si="0"/>
        <v>#DIV/0!</v>
      </c>
      <c r="G26" s="152">
        <f t="shared" si="7"/>
        <v>168000</v>
      </c>
      <c r="H26" s="152">
        <f>'[4]6)固定资产及无形资产预算表'!H25</f>
        <v>0</v>
      </c>
      <c r="I26" s="152">
        <f>'[4]6)固定资产及无形资产预算表'!I25</f>
        <v>90000</v>
      </c>
      <c r="J26" s="152">
        <f>'[4]6)固定资产及无形资产预算表'!J25</f>
        <v>78000</v>
      </c>
      <c r="K26" s="152">
        <f>'[4]6)固定资产及无形资产预算表'!K25</f>
        <v>0</v>
      </c>
      <c r="L26" s="170" t="e">
        <f t="shared" si="8"/>
        <v>#DIV/0!</v>
      </c>
      <c r="M26" s="172" t="str">
        <f>'[4]6)固定资产及无形资产预算表'!M25</f>
        <v>垃圾桶163个，每个1300，垃圾盖80个，每个150元</v>
      </c>
    </row>
    <row r="27" spans="1:13" s="138" customFormat="1" ht="21" customHeight="1">
      <c r="A27" s="151" t="str">
        <f>'[4]6)固定资产及无形资产预算表'!A26</f>
        <v>    环卫工具</v>
      </c>
      <c r="B27" s="152">
        <f>'[4]6)固定资产及无形资产预算表'!B26</f>
        <v>0</v>
      </c>
      <c r="C27" s="152">
        <f>'[4]6)固定资产及无形资产预算表'!C26</f>
        <v>0</v>
      </c>
      <c r="D27" s="152">
        <f>'[4]6)固定资产及无形资产预算表'!D26</f>
        <v>0</v>
      </c>
      <c r="E27" s="152">
        <f aca="true" t="shared" si="9" ref="E27:E39">C27+D27</f>
        <v>0</v>
      </c>
      <c r="F27" s="153" t="e">
        <f t="shared" si="0"/>
        <v>#DIV/0!</v>
      </c>
      <c r="G27" s="152">
        <f aca="true" t="shared" si="10" ref="G27:G39">SUM(H27:K27)</f>
        <v>40720</v>
      </c>
      <c r="H27" s="152">
        <f>SUM(H28:H39)</f>
        <v>0</v>
      </c>
      <c r="I27" s="152">
        <f>SUM(I28:I39)</f>
        <v>20510</v>
      </c>
      <c r="J27" s="152">
        <f>SUM(J28:J39)</f>
        <v>20210</v>
      </c>
      <c r="K27" s="152">
        <f>SUM(K28:K39)</f>
        <v>0</v>
      </c>
      <c r="L27" s="170" t="e">
        <f t="shared" si="8"/>
        <v>#DIV/0!</v>
      </c>
      <c r="M27" s="174"/>
    </row>
    <row r="28" spans="1:13" s="138" customFormat="1" ht="21" customHeight="1">
      <c r="A28" s="154" t="str">
        <f>'[4]6)固定资产及无形资产预算表'!A27</f>
        <v>网漏</v>
      </c>
      <c r="B28" s="152">
        <f>'[4]6)固定资产及无形资产预算表'!B27</f>
        <v>0</v>
      </c>
      <c r="C28" s="152">
        <f>'[4]6)固定资产及无形资产预算表'!C27</f>
        <v>0</v>
      </c>
      <c r="D28" s="152">
        <f>'[4]6)固定资产及无形资产预算表'!D27</f>
        <v>0</v>
      </c>
      <c r="E28" s="152">
        <f t="shared" si="9"/>
        <v>0</v>
      </c>
      <c r="F28" s="153" t="e">
        <f t="shared" si="0"/>
        <v>#DIV/0!</v>
      </c>
      <c r="G28" s="152">
        <f t="shared" si="10"/>
        <v>300</v>
      </c>
      <c r="H28" s="152">
        <f>'[4]6)固定资产及无形资产预算表'!H27</f>
        <v>0</v>
      </c>
      <c r="I28" s="152">
        <f>'[4]6)固定资产及无形资产预算表'!I27</f>
        <v>300</v>
      </c>
      <c r="J28" s="152">
        <f>'[4]6)固定资产及无形资产预算表'!J27</f>
        <v>0</v>
      </c>
      <c r="K28" s="152">
        <f>'[4]6)固定资产及无形资产预算表'!K27</f>
        <v>0</v>
      </c>
      <c r="L28" s="170" t="e">
        <f aca="true" t="shared" si="11" ref="L28:L39">G28/B28</f>
        <v>#DIV/0!</v>
      </c>
      <c r="M28" s="174"/>
    </row>
    <row r="29" spans="1:13" s="138" customFormat="1" ht="21" customHeight="1">
      <c r="A29" s="154" t="str">
        <f>'[4]6)固定资产及无形资产预算表'!A28</f>
        <v>大、小扫帚</v>
      </c>
      <c r="B29" s="152">
        <f>'[4]6)固定资产及无形资产预算表'!B28</f>
        <v>0</v>
      </c>
      <c r="C29" s="152">
        <f>'[4]6)固定资产及无形资产预算表'!C28</f>
        <v>0</v>
      </c>
      <c r="D29" s="152">
        <f>'[4]6)固定资产及无形资产预算表'!D28</f>
        <v>0</v>
      </c>
      <c r="E29" s="152">
        <f t="shared" si="9"/>
        <v>0</v>
      </c>
      <c r="F29" s="153" t="e">
        <f t="shared" si="0"/>
        <v>#DIV/0!</v>
      </c>
      <c r="G29" s="152">
        <f t="shared" si="10"/>
        <v>6270</v>
      </c>
      <c r="H29" s="152">
        <f>'[4]6)固定资产及无形资产预算表'!H28</f>
        <v>0</v>
      </c>
      <c r="I29" s="152">
        <f>'[4]6)固定资产及无形资产预算表'!I28</f>
        <v>3135</v>
      </c>
      <c r="J29" s="152">
        <f>'[4]6)固定资产及无形资产预算表'!J28</f>
        <v>3135</v>
      </c>
      <c r="K29" s="152">
        <f>'[4]6)固定资产及无形资产预算表'!K28</f>
        <v>0</v>
      </c>
      <c r="L29" s="170" t="e">
        <f t="shared" si="11"/>
        <v>#DIV/0!</v>
      </c>
      <c r="M29" s="174"/>
    </row>
    <row r="30" spans="1:13" s="138" customFormat="1" ht="21" customHeight="1">
      <c r="A30" s="154" t="str">
        <f>'[4]6)固定资产及无形资产预算表'!A29</f>
        <v>耙、铲和锄头</v>
      </c>
      <c r="B30" s="152">
        <f>'[4]6)固定资产及无形资产预算表'!B29</f>
        <v>0</v>
      </c>
      <c r="C30" s="152">
        <f>'[4]6)固定资产及无形资产预算表'!C29</f>
        <v>0</v>
      </c>
      <c r="D30" s="152">
        <f>'[4]6)固定资产及无形资产预算表'!D29</f>
        <v>0</v>
      </c>
      <c r="E30" s="152">
        <f t="shared" si="9"/>
        <v>0</v>
      </c>
      <c r="F30" s="153" t="e">
        <f t="shared" si="0"/>
        <v>#DIV/0!</v>
      </c>
      <c r="G30" s="152">
        <f t="shared" si="10"/>
        <v>952</v>
      </c>
      <c r="H30" s="152">
        <f>'[4]6)固定资产及无形资产预算表'!H29</f>
        <v>0</v>
      </c>
      <c r="I30" s="152">
        <f>'[4]6)固定资产及无形资产预算表'!I29</f>
        <v>476</v>
      </c>
      <c r="J30" s="152">
        <f>'[4]6)固定资产及无形资产预算表'!J29</f>
        <v>476</v>
      </c>
      <c r="K30" s="152">
        <f>'[4]6)固定资产及无形资产预算表'!K29</f>
        <v>0</v>
      </c>
      <c r="L30" s="170" t="e">
        <f t="shared" si="11"/>
        <v>#DIV/0!</v>
      </c>
      <c r="M30" s="174"/>
    </row>
    <row r="31" spans="1:13" s="138" customFormat="1" ht="21" customHeight="1">
      <c r="A31" s="154" t="str">
        <f>'[4]6)固定资产及无形资产预算表'!A30</f>
        <v>勾刀</v>
      </c>
      <c r="B31" s="152">
        <f>'[4]6)固定资产及无形资产预算表'!B30</f>
        <v>0</v>
      </c>
      <c r="C31" s="152">
        <f>'[4]6)固定资产及无形资产预算表'!C30</f>
        <v>0</v>
      </c>
      <c r="D31" s="152">
        <f>'[4]6)固定资产及无形资产预算表'!D30</f>
        <v>0</v>
      </c>
      <c r="E31" s="152">
        <f t="shared" si="9"/>
        <v>0</v>
      </c>
      <c r="F31" s="153" t="e">
        <f t="shared" si="0"/>
        <v>#DIV/0!</v>
      </c>
      <c r="G31" s="152">
        <f t="shared" si="10"/>
        <v>600</v>
      </c>
      <c r="H31" s="152">
        <f>'[4]6)固定资产及无形资产预算表'!H30</f>
        <v>0</v>
      </c>
      <c r="I31" s="152">
        <f>'[4]6)固定资产及无形资产预算表'!I30</f>
        <v>300</v>
      </c>
      <c r="J31" s="152">
        <f>'[4]6)固定资产及无形资产预算表'!J30</f>
        <v>300</v>
      </c>
      <c r="K31" s="152">
        <f>'[4]6)固定资产及无形资产预算表'!K30</f>
        <v>0</v>
      </c>
      <c r="L31" s="170" t="e">
        <f t="shared" si="11"/>
        <v>#DIV/0!</v>
      </c>
      <c r="M31" s="174"/>
    </row>
    <row r="32" spans="1:13" s="138" customFormat="1" ht="21" customHeight="1">
      <c r="A32" s="154" t="str">
        <f>'[4]6)固定资产及无形资产预算表'!A31</f>
        <v>镰刀</v>
      </c>
      <c r="B32" s="152">
        <f>'[4]6)固定资产及无形资产预算表'!B31</f>
        <v>0</v>
      </c>
      <c r="C32" s="152">
        <f>'[4]6)固定资产及无形资产预算表'!C31</f>
        <v>0</v>
      </c>
      <c r="D32" s="152">
        <f>'[4]6)固定资产及无形资产预算表'!D31</f>
        <v>0</v>
      </c>
      <c r="E32" s="152">
        <f t="shared" si="9"/>
        <v>0</v>
      </c>
      <c r="F32" s="153" t="e">
        <f t="shared" si="0"/>
        <v>#DIV/0!</v>
      </c>
      <c r="G32" s="152">
        <f t="shared" si="10"/>
        <v>510</v>
      </c>
      <c r="H32" s="152">
        <f>'[4]6)固定资产及无形资产预算表'!H31</f>
        <v>0</v>
      </c>
      <c r="I32" s="152">
        <f>'[4]6)固定资产及无形资产预算表'!I31</f>
        <v>255</v>
      </c>
      <c r="J32" s="152">
        <f>'[4]6)固定资产及无形资产预算表'!J31</f>
        <v>255</v>
      </c>
      <c r="K32" s="152">
        <f>'[4]6)固定资产及无形资产预算表'!K31</f>
        <v>0</v>
      </c>
      <c r="L32" s="170" t="e">
        <f t="shared" si="11"/>
        <v>#DIV/0!</v>
      </c>
      <c r="M32" s="174"/>
    </row>
    <row r="33" spans="1:13" s="138" customFormat="1" ht="21" customHeight="1">
      <c r="A33" s="154" t="str">
        <f>'[4]6)固定资产及无形资产预算表'!A32</f>
        <v>垃圾斗</v>
      </c>
      <c r="B33" s="152">
        <f>'[4]6)固定资产及无形资产预算表'!B32</f>
        <v>0</v>
      </c>
      <c r="C33" s="152">
        <f>'[4]6)固定资产及无形资产预算表'!C32</f>
        <v>0</v>
      </c>
      <c r="D33" s="152">
        <f>'[4]6)固定资产及无形资产预算表'!D32</f>
        <v>0</v>
      </c>
      <c r="E33" s="152">
        <f t="shared" si="9"/>
        <v>0</v>
      </c>
      <c r="F33" s="153" t="e">
        <f t="shared" si="0"/>
        <v>#DIV/0!</v>
      </c>
      <c r="G33" s="152">
        <f t="shared" si="10"/>
        <v>476</v>
      </c>
      <c r="H33" s="152">
        <f>'[4]6)固定资产及无形资产预算表'!H32</f>
        <v>0</v>
      </c>
      <c r="I33" s="152">
        <f>'[4]6)固定资产及无形资产预算表'!I32</f>
        <v>238</v>
      </c>
      <c r="J33" s="152">
        <f>'[4]6)固定资产及无形资产预算表'!J32</f>
        <v>238</v>
      </c>
      <c r="K33" s="152">
        <f>'[4]6)固定资产及无形资产预算表'!K32</f>
        <v>0</v>
      </c>
      <c r="L33" s="170" t="e">
        <f t="shared" si="11"/>
        <v>#DIV/0!</v>
      </c>
      <c r="M33" s="174"/>
    </row>
    <row r="34" spans="1:13" s="138" customFormat="1" ht="21" customHeight="1">
      <c r="A34" s="154" t="str">
        <f>'[4]6)固定资产及无形资产预算表'!A33</f>
        <v>胶扫帚</v>
      </c>
      <c r="B34" s="152">
        <f>'[4]6)固定资产及无形资产预算表'!B33</f>
        <v>0</v>
      </c>
      <c r="C34" s="152">
        <f>'[4]6)固定资产及无形资产预算表'!C33</f>
        <v>0</v>
      </c>
      <c r="D34" s="152">
        <f>'[4]6)固定资产及无形资产预算表'!D33</f>
        <v>0</v>
      </c>
      <c r="E34" s="152">
        <f t="shared" si="9"/>
        <v>0</v>
      </c>
      <c r="F34" s="153" t="e">
        <f t="shared" si="0"/>
        <v>#DIV/0!</v>
      </c>
      <c r="G34" s="152">
        <f t="shared" si="10"/>
        <v>952</v>
      </c>
      <c r="H34" s="152">
        <f>'[4]6)固定资产及无形资产预算表'!H33</f>
        <v>0</v>
      </c>
      <c r="I34" s="152">
        <f>'[4]6)固定资产及无形资产预算表'!I33</f>
        <v>476</v>
      </c>
      <c r="J34" s="152">
        <f>'[4]6)固定资产及无形资产预算表'!J33</f>
        <v>476</v>
      </c>
      <c r="K34" s="152">
        <f>'[4]6)固定资产及无形资产预算表'!K33</f>
        <v>0</v>
      </c>
      <c r="L34" s="170" t="e">
        <f t="shared" si="11"/>
        <v>#DIV/0!</v>
      </c>
      <c r="M34" s="174"/>
    </row>
    <row r="35" spans="1:13" s="138" customFormat="1" ht="21" customHeight="1">
      <c r="A35" s="154" t="str">
        <f>'[4]6)固定资产及无形资产预算表'!A34</f>
        <v>藤扫把</v>
      </c>
      <c r="B35" s="152">
        <f>'[4]6)固定资产及无形资产预算表'!B34</f>
        <v>0</v>
      </c>
      <c r="C35" s="152">
        <f>'[4]6)固定资产及无形资产预算表'!C34</f>
        <v>0</v>
      </c>
      <c r="D35" s="152">
        <f>'[4]6)固定资产及无形资产预算表'!D34</f>
        <v>0</v>
      </c>
      <c r="E35" s="152">
        <f t="shared" si="9"/>
        <v>0</v>
      </c>
      <c r="F35" s="153" t="e">
        <f t="shared" si="0"/>
        <v>#DIV/0!</v>
      </c>
      <c r="G35" s="152">
        <f t="shared" si="10"/>
        <v>1360</v>
      </c>
      <c r="H35" s="152">
        <f>'[4]6)固定资产及无形资产预算表'!H34</f>
        <v>0</v>
      </c>
      <c r="I35" s="152">
        <f>'[4]6)固定资产及无形资产预算表'!I34</f>
        <v>680</v>
      </c>
      <c r="J35" s="152">
        <f>'[4]6)固定资产及无形资产预算表'!J34</f>
        <v>680</v>
      </c>
      <c r="K35" s="152">
        <f>'[4]6)固定资产及无形资产预算表'!K34</f>
        <v>0</v>
      </c>
      <c r="L35" s="170" t="e">
        <f t="shared" si="11"/>
        <v>#DIV/0!</v>
      </c>
      <c r="M35" s="174"/>
    </row>
    <row r="36" spans="1:13" s="138" customFormat="1" ht="21" customHeight="1">
      <c r="A36" s="154" t="str">
        <f>'[4]6)固定资产及无形资产预算表'!A35</f>
        <v>垃圾夹子</v>
      </c>
      <c r="B36" s="152">
        <f>'[4]6)固定资产及无形资产预算表'!B35</f>
        <v>0</v>
      </c>
      <c r="C36" s="152">
        <f>'[4]6)固定资产及无形资产预算表'!C35</f>
        <v>0</v>
      </c>
      <c r="D36" s="152">
        <f>'[4]6)固定资产及无形资产预算表'!D35</f>
        <v>0</v>
      </c>
      <c r="E36" s="152">
        <f t="shared" si="9"/>
        <v>0</v>
      </c>
      <c r="F36" s="153" t="e">
        <f t="shared" si="0"/>
        <v>#DIV/0!</v>
      </c>
      <c r="G36" s="152">
        <f t="shared" si="10"/>
        <v>2000</v>
      </c>
      <c r="H36" s="152">
        <f>'[4]6)固定资产及无形资产预算表'!H35</f>
        <v>0</v>
      </c>
      <c r="I36" s="152">
        <f>'[4]6)固定资产及无形资产预算表'!I35</f>
        <v>1000</v>
      </c>
      <c r="J36" s="152">
        <f>'[4]6)固定资产及无形资产预算表'!J35</f>
        <v>1000</v>
      </c>
      <c r="K36" s="152">
        <f>'[4]6)固定资产及无形资产预算表'!K35</f>
        <v>0</v>
      </c>
      <c r="L36" s="170" t="e">
        <f t="shared" si="11"/>
        <v>#DIV/0!</v>
      </c>
      <c r="M36" s="174"/>
    </row>
    <row r="37" spans="1:13" s="138" customFormat="1" ht="21" customHeight="1">
      <c r="A37" s="154" t="str">
        <f>'[4]6)固定资产及无形资产预算表'!A36</f>
        <v>喷药器</v>
      </c>
      <c r="B37" s="152">
        <f>'[4]6)固定资产及无形资产预算表'!B36</f>
        <v>0</v>
      </c>
      <c r="C37" s="152">
        <f>'[4]6)固定资产及无形资产预算表'!C36</f>
        <v>0</v>
      </c>
      <c r="D37" s="152">
        <f>'[4]6)固定资产及无形资产预算表'!D36</f>
        <v>0</v>
      </c>
      <c r="E37" s="152">
        <f t="shared" si="9"/>
        <v>0</v>
      </c>
      <c r="F37" s="153" t="e">
        <f t="shared" si="0"/>
        <v>#DIV/0!</v>
      </c>
      <c r="G37" s="152">
        <f t="shared" si="10"/>
        <v>20000</v>
      </c>
      <c r="H37" s="152">
        <f>'[4]6)固定资产及无形资产预算表'!H36</f>
        <v>0</v>
      </c>
      <c r="I37" s="152">
        <f>'[4]6)固定资产及无形资产预算表'!I36</f>
        <v>10000</v>
      </c>
      <c r="J37" s="152">
        <f>'[4]6)固定资产及无形资产预算表'!J36</f>
        <v>10000</v>
      </c>
      <c r="K37" s="152">
        <f>'[4]6)固定资产及无形资产预算表'!K36</f>
        <v>0</v>
      </c>
      <c r="L37" s="170" t="e">
        <f t="shared" si="11"/>
        <v>#DIV/0!</v>
      </c>
      <c r="M37" s="155"/>
    </row>
    <row r="38" spans="1:13" s="138" customFormat="1" ht="21" customHeight="1">
      <c r="A38" s="154" t="str">
        <f>'[4]6)固定资产及无形资产预算表'!A37</f>
        <v>杀草剂</v>
      </c>
      <c r="B38" s="152">
        <f>'[4]6)固定资产及无形资产预算表'!B37</f>
        <v>0</v>
      </c>
      <c r="C38" s="152">
        <f>'[4]6)固定资产及无形资产预算表'!C37</f>
        <v>0</v>
      </c>
      <c r="D38" s="152">
        <f>'[4]6)固定资产及无形资产预算表'!D37</f>
        <v>0</v>
      </c>
      <c r="E38" s="152">
        <f t="shared" si="9"/>
        <v>0</v>
      </c>
      <c r="F38" s="153" t="e">
        <f t="shared" si="0"/>
        <v>#DIV/0!</v>
      </c>
      <c r="G38" s="152">
        <f t="shared" si="10"/>
        <v>500</v>
      </c>
      <c r="H38" s="152">
        <f>'[4]6)固定资产及无形资产预算表'!H37</f>
        <v>0</v>
      </c>
      <c r="I38" s="152">
        <f>'[4]6)固定资产及无形资产预算表'!I37</f>
        <v>250</v>
      </c>
      <c r="J38" s="152">
        <f>'[4]6)固定资产及无形资产预算表'!J37</f>
        <v>250</v>
      </c>
      <c r="K38" s="152">
        <f>'[4]6)固定资产及无形资产预算表'!K37</f>
        <v>0</v>
      </c>
      <c r="L38" s="170" t="e">
        <f t="shared" si="11"/>
        <v>#DIV/0!</v>
      </c>
      <c r="M38" s="155"/>
    </row>
    <row r="39" spans="1:13" s="138" customFormat="1" ht="21" customHeight="1">
      <c r="A39" s="154" t="str">
        <f>'[4]6)固定资产及无形资产预算表'!A38</f>
        <v>大垃圾袋</v>
      </c>
      <c r="B39" s="152">
        <f>'[4]6)固定资产及无形资产预算表'!B38</f>
        <v>0</v>
      </c>
      <c r="C39" s="152">
        <f>'[4]6)固定资产及无形资产预算表'!C38</f>
        <v>0</v>
      </c>
      <c r="D39" s="152">
        <f>'[4]6)固定资产及无形资产预算表'!D38</f>
        <v>0</v>
      </c>
      <c r="E39" s="152">
        <f t="shared" si="9"/>
        <v>0</v>
      </c>
      <c r="F39" s="153" t="e">
        <f t="shared" si="0"/>
        <v>#DIV/0!</v>
      </c>
      <c r="G39" s="152">
        <f t="shared" si="10"/>
        <v>6800</v>
      </c>
      <c r="H39" s="152">
        <f>'[4]6)固定资产及无形资产预算表'!H38</f>
        <v>0</v>
      </c>
      <c r="I39" s="152">
        <f>'[4]6)固定资产及无形资产预算表'!I38</f>
        <v>3400</v>
      </c>
      <c r="J39" s="152">
        <f>'[4]6)固定资产及无形资产预算表'!J38</f>
        <v>3400</v>
      </c>
      <c r="K39" s="152">
        <f>'[4]6)固定资产及无形资产预算表'!K38</f>
        <v>0</v>
      </c>
      <c r="L39" s="170" t="e">
        <f t="shared" si="11"/>
        <v>#DIV/0!</v>
      </c>
      <c r="M39" s="155"/>
    </row>
    <row r="40" spans="1:13" s="138" customFormat="1" ht="21" customHeight="1">
      <c r="A40" s="151"/>
      <c r="B40" s="155"/>
      <c r="C40" s="155"/>
      <c r="D40" s="155"/>
      <c r="E40" s="155"/>
      <c r="F40" s="156"/>
      <c r="G40" s="152"/>
      <c r="H40" s="155"/>
      <c r="I40" s="155"/>
      <c r="J40" s="155"/>
      <c r="K40" s="155"/>
      <c r="L40" s="155"/>
      <c r="M40" s="155"/>
    </row>
    <row r="41" spans="1:13" s="138" customFormat="1" ht="21" customHeight="1">
      <c r="A41" s="151"/>
      <c r="B41" s="155"/>
      <c r="C41" s="155"/>
      <c r="D41" s="155"/>
      <c r="E41" s="155"/>
      <c r="F41" s="156"/>
      <c r="G41" s="152"/>
      <c r="H41" s="155"/>
      <c r="I41" s="155"/>
      <c r="J41" s="155"/>
      <c r="K41" s="155"/>
      <c r="L41" s="155"/>
      <c r="M41" s="155"/>
    </row>
    <row r="42" spans="1:13" s="138" customFormat="1" ht="21" customHeight="1">
      <c r="A42" s="151"/>
      <c r="B42" s="155"/>
      <c r="C42" s="155"/>
      <c r="D42" s="155"/>
      <c r="E42" s="155"/>
      <c r="F42" s="156"/>
      <c r="G42" s="152"/>
      <c r="H42" s="155"/>
      <c r="I42" s="155"/>
      <c r="J42" s="155"/>
      <c r="K42" s="155"/>
      <c r="L42" s="155"/>
      <c r="M42" s="155"/>
    </row>
    <row r="43" spans="1:13" s="138" customFormat="1" ht="21" customHeight="1">
      <c r="A43" s="151"/>
      <c r="B43" s="155"/>
      <c r="C43" s="155"/>
      <c r="D43" s="155"/>
      <c r="E43" s="155"/>
      <c r="F43" s="156"/>
      <c r="G43" s="152"/>
      <c r="H43" s="155"/>
      <c r="I43" s="155"/>
      <c r="J43" s="155"/>
      <c r="K43" s="155"/>
      <c r="L43" s="155"/>
      <c r="M43" s="155"/>
    </row>
    <row r="44" spans="1:13" s="138" customFormat="1" ht="21" customHeight="1">
      <c r="A44" s="151"/>
      <c r="B44" s="155"/>
      <c r="C44" s="155"/>
      <c r="D44" s="155"/>
      <c r="E44" s="155"/>
      <c r="F44" s="156"/>
      <c r="G44" s="152"/>
      <c r="H44" s="155"/>
      <c r="I44" s="155"/>
      <c r="J44" s="155"/>
      <c r="K44" s="155"/>
      <c r="L44" s="155"/>
      <c r="M44" s="155"/>
    </row>
    <row r="45" spans="1:13" s="138" customFormat="1" ht="21" customHeight="1">
      <c r="A45" s="151"/>
      <c r="B45" s="155"/>
      <c r="C45" s="155"/>
      <c r="D45" s="155"/>
      <c r="E45" s="155"/>
      <c r="F45" s="156"/>
      <c r="G45" s="152">
        <f>SUM(H45:K45)</f>
        <v>0</v>
      </c>
      <c r="H45" s="155"/>
      <c r="I45" s="155"/>
      <c r="J45" s="155"/>
      <c r="K45" s="155"/>
      <c r="L45" s="155"/>
      <c r="M45" s="155"/>
    </row>
    <row r="46" spans="1:13" s="139" customFormat="1" ht="18.75" customHeight="1">
      <c r="A46" s="157"/>
      <c r="B46" s="157"/>
      <c r="C46" s="157"/>
      <c r="D46" s="158" t="s">
        <v>497</v>
      </c>
      <c r="E46" s="157"/>
      <c r="F46" s="157"/>
      <c r="G46" s="157"/>
      <c r="H46" s="159"/>
      <c r="I46" s="175"/>
      <c r="J46" s="175"/>
      <c r="K46" s="176" t="s">
        <v>498</v>
      </c>
      <c r="L46" s="155"/>
      <c r="M46" s="177"/>
    </row>
    <row r="47" spans="1:13" s="139" customFormat="1" ht="18" customHeight="1">
      <c r="A47" s="160" t="s">
        <v>457</v>
      </c>
      <c r="B47" s="160"/>
      <c r="C47" s="160"/>
      <c r="D47" s="160"/>
      <c r="E47" s="160"/>
      <c r="F47" s="160"/>
      <c r="G47" s="160"/>
      <c r="H47" s="160"/>
      <c r="I47" s="178"/>
      <c r="J47" s="178"/>
      <c r="K47" s="178"/>
      <c r="L47" s="179"/>
      <c r="M47" s="160"/>
    </row>
    <row r="48" spans="1:13" s="139" customFormat="1" ht="18" customHeight="1">
      <c r="A48" s="160" t="s">
        <v>499</v>
      </c>
      <c r="B48" s="160"/>
      <c r="C48" s="160"/>
      <c r="D48" s="160"/>
      <c r="E48" s="160"/>
      <c r="F48" s="160"/>
      <c r="G48" s="160"/>
      <c r="H48" s="160"/>
      <c r="I48" s="160"/>
      <c r="J48" s="160"/>
      <c r="K48" s="160"/>
      <c r="L48" s="160"/>
      <c r="M48" s="160"/>
    </row>
    <row r="49" spans="1:13" s="139" customFormat="1" ht="18" customHeight="1">
      <c r="A49" s="160" t="s">
        <v>500</v>
      </c>
      <c r="B49" s="160"/>
      <c r="C49" s="160"/>
      <c r="D49" s="160"/>
      <c r="E49" s="160"/>
      <c r="F49" s="160"/>
      <c r="G49" s="160"/>
      <c r="H49" s="160"/>
      <c r="I49" s="160"/>
      <c r="J49" s="160"/>
      <c r="K49" s="160"/>
      <c r="L49" s="160"/>
      <c r="M49" s="160"/>
    </row>
    <row r="50" spans="1:13" s="139" customFormat="1" ht="18" customHeight="1">
      <c r="A50" s="161" t="s">
        <v>501</v>
      </c>
      <c r="B50" s="161"/>
      <c r="C50" s="161"/>
      <c r="D50" s="161"/>
      <c r="E50" s="161"/>
      <c r="F50" s="162"/>
      <c r="G50" s="160"/>
      <c r="H50" s="160"/>
      <c r="I50" s="160"/>
      <c r="J50" s="160"/>
      <c r="K50" s="160"/>
      <c r="L50" s="160"/>
      <c r="M50" s="160"/>
    </row>
    <row r="51" spans="1:13" s="139" customFormat="1" ht="18" customHeight="1">
      <c r="A51" s="161" t="s">
        <v>502</v>
      </c>
      <c r="B51" s="161"/>
      <c r="C51" s="161"/>
      <c r="D51" s="161"/>
      <c r="E51" s="161"/>
      <c r="F51" s="162"/>
      <c r="G51" s="160"/>
      <c r="H51" s="160"/>
      <c r="I51" s="160"/>
      <c r="J51" s="160"/>
      <c r="K51" s="160"/>
      <c r="L51" s="160"/>
      <c r="M51" s="160"/>
    </row>
    <row r="52" spans="1:13" s="139" customFormat="1" ht="18" customHeight="1">
      <c r="A52" s="157" t="s">
        <v>503</v>
      </c>
      <c r="B52" s="157"/>
      <c r="C52" s="157"/>
      <c r="D52" s="157"/>
      <c r="E52" s="157"/>
      <c r="F52" s="157"/>
      <c r="G52" s="157"/>
      <c r="H52" s="163"/>
      <c r="I52" s="157"/>
      <c r="J52" s="157"/>
      <c r="K52" s="157"/>
      <c r="L52" s="157"/>
      <c r="M52" s="157"/>
    </row>
  </sheetData>
  <sheetProtection formatCells="0"/>
  <protectedRanges>
    <protectedRange sqref="G5:K6 G7:G19 H12:K12 G20:K20" name="区域1"/>
    <protectedRange sqref="B12:E12 C7:C11 E7:E11 E13:E19 B5:E6 B20:E20 E21:E37 C18:C19 C13:C17 C26:C37 C21:C25" name="区域1_1"/>
    <protectedRange sqref="F5:F20" name="区域1_2"/>
    <protectedRange sqref="F21" name="区域1_1_1"/>
    <protectedRange sqref="L5:L20" name="区域1_3"/>
  </protectedRanges>
  <mergeCells count="6">
    <mergeCell ref="A1:M1"/>
    <mergeCell ref="B3:E3"/>
    <mergeCell ref="G3:K3"/>
    <mergeCell ref="A3:A4"/>
    <mergeCell ref="L3:L4"/>
    <mergeCell ref="M3:M4"/>
  </mergeCells>
  <printOptions/>
  <pageMargins left="0.75" right="0.45" top="0.59" bottom="0.71" header="0.39" footer="0.51"/>
  <pageSetup fitToHeight="1" fitToWidth="1" horizontalDpi="300" verticalDpi="300" orientation="landscape" paperSize="9" scale="66"/>
</worksheet>
</file>

<file path=xl/worksheets/sheet7.xml><?xml version="1.0" encoding="utf-8"?>
<worksheet xmlns="http://schemas.openxmlformats.org/spreadsheetml/2006/main" xmlns:r="http://schemas.openxmlformats.org/officeDocument/2006/relationships">
  <sheetPr>
    <pageSetUpPr fitToPage="1"/>
  </sheetPr>
  <dimension ref="A1:N27"/>
  <sheetViews>
    <sheetView workbookViewId="0" topLeftCell="A1">
      <selection activeCell="B12" sqref="B12:C15"/>
    </sheetView>
  </sheetViews>
  <sheetFormatPr defaultColWidth="9.140625" defaultRowHeight="12.75"/>
  <cols>
    <col min="1" max="1" width="26.140625" style="0" customWidth="1"/>
    <col min="2" max="9" width="14.140625" style="0" customWidth="1"/>
    <col min="10" max="10" width="14.00390625" style="0" customWidth="1"/>
    <col min="11" max="14" width="12.57421875" style="0" customWidth="1"/>
  </cols>
  <sheetData>
    <row r="1" spans="1:14" ht="35.25" customHeight="1">
      <c r="A1" s="23" t="s">
        <v>504</v>
      </c>
      <c r="B1" s="23" t="s">
        <v>504</v>
      </c>
      <c r="C1" s="23" t="s">
        <v>504</v>
      </c>
      <c r="D1" s="23" t="s">
        <v>504</v>
      </c>
      <c r="E1" s="23" t="s">
        <v>504</v>
      </c>
      <c r="F1" s="23" t="s">
        <v>504</v>
      </c>
      <c r="G1" s="23" t="s">
        <v>504</v>
      </c>
      <c r="H1" s="23" t="s">
        <v>504</v>
      </c>
      <c r="I1" s="23" t="s">
        <v>504</v>
      </c>
      <c r="J1" s="23" t="s">
        <v>504</v>
      </c>
      <c r="K1" s="23" t="s">
        <v>504</v>
      </c>
      <c r="L1" s="23" t="s">
        <v>504</v>
      </c>
      <c r="M1" s="23" t="s">
        <v>504</v>
      </c>
      <c r="N1" s="23" t="s">
        <v>504</v>
      </c>
    </row>
    <row r="2" spans="1:14" ht="18" customHeight="1">
      <c r="A2" s="5" t="s">
        <v>287</v>
      </c>
      <c r="B2" s="45"/>
      <c r="C2" s="46"/>
      <c r="D2" s="47"/>
      <c r="F2" s="5"/>
      <c r="G2" s="17" t="s">
        <v>288</v>
      </c>
      <c r="H2" s="5"/>
      <c r="I2" s="5"/>
      <c r="J2" s="5" t="s">
        <v>1</v>
      </c>
      <c r="K2" s="5"/>
      <c r="L2" s="5"/>
      <c r="M2" s="5"/>
      <c r="N2" s="5"/>
    </row>
    <row r="3" spans="1:14" ht="18" customHeight="1">
      <c r="A3" s="18" t="s">
        <v>505</v>
      </c>
      <c r="B3" s="9" t="s">
        <v>366</v>
      </c>
      <c r="C3" s="9" t="s">
        <v>366</v>
      </c>
      <c r="D3" s="9" t="s">
        <v>366</v>
      </c>
      <c r="E3" s="9" t="s">
        <v>292</v>
      </c>
      <c r="F3" s="9" t="s">
        <v>292</v>
      </c>
      <c r="G3" s="9" t="s">
        <v>292</v>
      </c>
      <c r="H3" s="9" t="s">
        <v>292</v>
      </c>
      <c r="I3" s="9" t="s">
        <v>292</v>
      </c>
      <c r="J3" s="9" t="s">
        <v>293</v>
      </c>
      <c r="K3" s="18" t="s">
        <v>33</v>
      </c>
      <c r="L3" s="18" t="s">
        <v>33</v>
      </c>
      <c r="M3" s="18" t="s">
        <v>33</v>
      </c>
      <c r="N3" s="18" t="s">
        <v>33</v>
      </c>
    </row>
    <row r="4" spans="1:14" ht="18" customHeight="1">
      <c r="A4" s="18" t="s">
        <v>505</v>
      </c>
      <c r="B4" s="9" t="s">
        <v>463</v>
      </c>
      <c r="C4" s="9" t="s">
        <v>296</v>
      </c>
      <c r="D4" s="9" t="s">
        <v>464</v>
      </c>
      <c r="E4" s="9" t="s">
        <v>314</v>
      </c>
      <c r="F4" s="9" t="s">
        <v>324</v>
      </c>
      <c r="G4" s="9" t="s">
        <v>331</v>
      </c>
      <c r="H4" s="9" t="s">
        <v>334</v>
      </c>
      <c r="I4" s="9" t="s">
        <v>336</v>
      </c>
      <c r="J4" s="9" t="s">
        <v>293</v>
      </c>
      <c r="K4" s="18" t="s">
        <v>506</v>
      </c>
      <c r="L4" s="18" t="s">
        <v>507</v>
      </c>
      <c r="M4" s="18" t="s">
        <v>508</v>
      </c>
      <c r="N4" s="18" t="s">
        <v>509</v>
      </c>
    </row>
    <row r="5" spans="1:14" ht="18" customHeight="1">
      <c r="A5" s="25" t="s">
        <v>510</v>
      </c>
      <c r="B5" s="11">
        <f aca="true" t="shared" si="0" ref="B5:I5">B6+B11</f>
        <v>0</v>
      </c>
      <c r="C5" s="11">
        <f t="shared" si="0"/>
        <v>0</v>
      </c>
      <c r="D5" s="11">
        <f t="shared" si="0"/>
        <v>0</v>
      </c>
      <c r="E5" s="11">
        <f t="shared" si="0"/>
        <v>0</v>
      </c>
      <c r="F5" s="11">
        <f t="shared" si="0"/>
        <v>0</v>
      </c>
      <c r="G5" s="11">
        <f t="shared" si="0"/>
        <v>0</v>
      </c>
      <c r="H5" s="11">
        <f t="shared" si="0"/>
        <v>0</v>
      </c>
      <c r="I5" s="11">
        <f t="shared" si="0"/>
        <v>0</v>
      </c>
      <c r="J5" s="19" t="e">
        <f>E5/D5</f>
        <v>#DIV/0!</v>
      </c>
      <c r="K5" s="5"/>
      <c r="L5" s="5"/>
      <c r="M5" s="5"/>
      <c r="N5" s="5"/>
    </row>
    <row r="6" spans="1:14" ht="18" customHeight="1">
      <c r="A6" s="25" t="s">
        <v>511</v>
      </c>
      <c r="B6" s="11">
        <f aca="true" t="shared" si="1" ref="B6:I6">SUM(B7:B10)</f>
        <v>0</v>
      </c>
      <c r="C6" s="11">
        <f t="shared" si="1"/>
        <v>0</v>
      </c>
      <c r="D6" s="11">
        <f t="shared" si="1"/>
        <v>0</v>
      </c>
      <c r="E6" s="11">
        <f t="shared" si="1"/>
        <v>0</v>
      </c>
      <c r="F6" s="11">
        <f t="shared" si="1"/>
        <v>0</v>
      </c>
      <c r="G6" s="11">
        <f t="shared" si="1"/>
        <v>0</v>
      </c>
      <c r="H6" s="11">
        <f t="shared" si="1"/>
        <v>0</v>
      </c>
      <c r="I6" s="11">
        <f t="shared" si="1"/>
        <v>0</v>
      </c>
      <c r="J6" s="19" t="e">
        <f aca="true" t="shared" si="2" ref="J6:J15">E6/D6</f>
        <v>#DIV/0!</v>
      </c>
      <c r="K6" s="5"/>
      <c r="L6" s="5"/>
      <c r="M6" s="5"/>
      <c r="N6" s="5"/>
    </row>
    <row r="7" spans="1:14" ht="18" customHeight="1">
      <c r="A7" s="25" t="s">
        <v>512</v>
      </c>
      <c r="B7" s="21">
        <f>'[3]7)筹资预算表'!B7+'[4]7)筹资预算表'!B7+'[5]7)筹资预算表'!B7</f>
        <v>0</v>
      </c>
      <c r="C7" s="21">
        <f>'[3]7)筹资预算表'!C7+'[4]7)筹资预算表'!C7+'[5]7)筹资预算表'!C7</f>
        <v>0</v>
      </c>
      <c r="D7" s="11">
        <f>B7+C7</f>
        <v>0</v>
      </c>
      <c r="E7" s="11">
        <f>SUM(F7:I7)</f>
        <v>0</v>
      </c>
      <c r="F7" s="21">
        <f>'[3]7)筹资预算表'!F7+'[4]7)筹资预算表'!F7+'[5]7)筹资预算表'!F7</f>
        <v>0</v>
      </c>
      <c r="G7" s="21">
        <f>'[3]7)筹资预算表'!G7+'[4]7)筹资预算表'!G7+'[5]7)筹资预算表'!G7</f>
        <v>0</v>
      </c>
      <c r="H7" s="21">
        <f>'[3]7)筹资预算表'!H7+'[4]7)筹资预算表'!H7+'[5]7)筹资预算表'!H7</f>
        <v>0</v>
      </c>
      <c r="I7" s="21">
        <f>'[3]7)筹资预算表'!I7+'[4]7)筹资预算表'!I7+'[5]7)筹资预算表'!I7</f>
        <v>0</v>
      </c>
      <c r="J7" s="19" t="e">
        <f t="shared" si="2"/>
        <v>#DIV/0!</v>
      </c>
      <c r="K7" s="5"/>
      <c r="L7" s="5"/>
      <c r="M7" s="5"/>
      <c r="N7" s="5"/>
    </row>
    <row r="8" spans="1:14" ht="18" customHeight="1">
      <c r="A8" s="25" t="s">
        <v>513</v>
      </c>
      <c r="B8" s="21">
        <f>'[3]7)筹资预算表'!B8+'[4]7)筹资预算表'!B8+'[5]7)筹资预算表'!B8</f>
        <v>0</v>
      </c>
      <c r="C8" s="21">
        <f>'[3]7)筹资预算表'!C8+'[4]7)筹资预算表'!C8+'[5]7)筹资预算表'!C8</f>
        <v>0</v>
      </c>
      <c r="D8" s="11">
        <f>B8+C8</f>
        <v>0</v>
      </c>
      <c r="E8" s="11">
        <f>SUM(F8:I8)</f>
        <v>0</v>
      </c>
      <c r="F8" s="21">
        <f>'[3]7)筹资预算表'!F8+'[4]7)筹资预算表'!F8+'[5]7)筹资预算表'!F8</f>
        <v>0</v>
      </c>
      <c r="G8" s="21">
        <f>'[3]7)筹资预算表'!G8+'[4]7)筹资预算表'!G8+'[5]7)筹资预算表'!G8</f>
        <v>0</v>
      </c>
      <c r="H8" s="21">
        <f>'[3]7)筹资预算表'!H8+'[4]7)筹资预算表'!H8+'[5]7)筹资预算表'!H8</f>
        <v>0</v>
      </c>
      <c r="I8" s="21">
        <f>'[3]7)筹资预算表'!I8+'[4]7)筹资预算表'!I8+'[5]7)筹资预算表'!I8</f>
        <v>0</v>
      </c>
      <c r="J8" s="19" t="e">
        <f t="shared" si="2"/>
        <v>#DIV/0!</v>
      </c>
      <c r="K8" s="5"/>
      <c r="L8" s="5"/>
      <c r="M8" s="5"/>
      <c r="N8" s="5"/>
    </row>
    <row r="9" spans="1:14" ht="18" customHeight="1">
      <c r="A9" s="25" t="s">
        <v>514</v>
      </c>
      <c r="B9" s="21">
        <f>'[3]7)筹资预算表'!B9+'[4]7)筹资预算表'!B9+'[5]7)筹资预算表'!B9</f>
        <v>0</v>
      </c>
      <c r="C9" s="21">
        <f>'[3]7)筹资预算表'!C9+'[4]7)筹资预算表'!C9+'[5]7)筹资预算表'!C9</f>
        <v>0</v>
      </c>
      <c r="D9" s="11">
        <f>B9+C9</f>
        <v>0</v>
      </c>
      <c r="E9" s="11">
        <f>SUM(F9:I9)</f>
        <v>0</v>
      </c>
      <c r="F9" s="21">
        <f>'[3]7)筹资预算表'!F9+'[4]7)筹资预算表'!F9+'[5]7)筹资预算表'!F9</f>
        <v>0</v>
      </c>
      <c r="G9" s="21">
        <f>'[3]7)筹资预算表'!G9+'[4]7)筹资预算表'!G9+'[5]7)筹资预算表'!G9</f>
        <v>0</v>
      </c>
      <c r="H9" s="21">
        <f>'[3]7)筹资预算表'!H9+'[4]7)筹资预算表'!H9+'[5]7)筹资预算表'!H9</f>
        <v>0</v>
      </c>
      <c r="I9" s="21">
        <f>'[3]7)筹资预算表'!I9+'[4]7)筹资预算表'!I9+'[5]7)筹资预算表'!I9</f>
        <v>0</v>
      </c>
      <c r="J9" s="19" t="e">
        <f t="shared" si="2"/>
        <v>#DIV/0!</v>
      </c>
      <c r="K9" s="5"/>
      <c r="L9" s="5"/>
      <c r="M9" s="5"/>
      <c r="N9" s="5"/>
    </row>
    <row r="10" spans="1:14" ht="18" customHeight="1">
      <c r="A10" s="25" t="s">
        <v>515</v>
      </c>
      <c r="B10" s="21">
        <f>'[3]7)筹资预算表'!B10+'[4]7)筹资预算表'!B10+'[5]7)筹资预算表'!B10</f>
        <v>0</v>
      </c>
      <c r="C10" s="21">
        <f>'[3]7)筹资预算表'!C10+'[4]7)筹资预算表'!C10+'[5]7)筹资预算表'!C10</f>
        <v>0</v>
      </c>
      <c r="D10" s="11">
        <f>B10+C10</f>
        <v>0</v>
      </c>
      <c r="E10" s="11">
        <f>SUM(F10:I10)</f>
        <v>0</v>
      </c>
      <c r="F10" s="21">
        <f>'[3]7)筹资预算表'!F10+'[4]7)筹资预算表'!F10+'[5]7)筹资预算表'!F10</f>
        <v>0</v>
      </c>
      <c r="G10" s="21">
        <f>'[3]7)筹资预算表'!G10+'[4]7)筹资预算表'!G10+'[5]7)筹资预算表'!G10</f>
        <v>0</v>
      </c>
      <c r="H10" s="21">
        <f>'[3]7)筹资预算表'!H10+'[4]7)筹资预算表'!H10+'[5]7)筹资预算表'!H10</f>
        <v>0</v>
      </c>
      <c r="I10" s="21">
        <f>'[3]7)筹资预算表'!I10+'[4]7)筹资预算表'!I10+'[5]7)筹资预算表'!I10</f>
        <v>0</v>
      </c>
      <c r="J10" s="19" t="e">
        <f t="shared" si="2"/>
        <v>#DIV/0!</v>
      </c>
      <c r="K10" s="5"/>
      <c r="L10" s="5"/>
      <c r="M10" s="5"/>
      <c r="N10" s="5"/>
    </row>
    <row r="11" spans="1:14" ht="18" customHeight="1">
      <c r="A11" s="25" t="s">
        <v>516</v>
      </c>
      <c r="B11" s="11">
        <f aca="true" t="shared" si="3" ref="B11:I11">SUM(B12:B15)</f>
        <v>0</v>
      </c>
      <c r="C11" s="11">
        <f t="shared" si="3"/>
        <v>0</v>
      </c>
      <c r="D11" s="11">
        <f t="shared" si="3"/>
        <v>0</v>
      </c>
      <c r="E11" s="11">
        <f t="shared" si="3"/>
        <v>0</v>
      </c>
      <c r="F11" s="11">
        <f t="shared" si="3"/>
        <v>0</v>
      </c>
      <c r="G11" s="11">
        <f t="shared" si="3"/>
        <v>0</v>
      </c>
      <c r="H11" s="11">
        <f t="shared" si="3"/>
        <v>0</v>
      </c>
      <c r="I11" s="11">
        <f t="shared" si="3"/>
        <v>0</v>
      </c>
      <c r="J11" s="19" t="e">
        <f t="shared" si="2"/>
        <v>#DIV/0!</v>
      </c>
      <c r="K11" s="5"/>
      <c r="L11" s="5"/>
      <c r="M11" s="5"/>
      <c r="N11" s="5"/>
    </row>
    <row r="12" spans="1:14" ht="18" customHeight="1">
      <c r="A12" s="25" t="s">
        <v>517</v>
      </c>
      <c r="B12" s="21">
        <f>'[3]7)筹资预算表'!B12+'[4]7)筹资预算表'!B12+'[5]7)筹资预算表'!B12</f>
        <v>0</v>
      </c>
      <c r="C12" s="21">
        <f>'[3]7)筹资预算表'!C12+'[4]7)筹资预算表'!C12+'[5]7)筹资预算表'!C12</f>
        <v>0</v>
      </c>
      <c r="D12" s="11">
        <f>B12+C12</f>
        <v>0</v>
      </c>
      <c r="E12" s="11">
        <f>SUM(F12:I12)</f>
        <v>0</v>
      </c>
      <c r="F12" s="21">
        <f>'[3]7)筹资预算表'!F12+'[4]7)筹资预算表'!F12+'[5]7)筹资预算表'!F12</f>
        <v>0</v>
      </c>
      <c r="G12" s="21">
        <f>'[3]7)筹资预算表'!G12+'[4]7)筹资预算表'!G12+'[5]7)筹资预算表'!G12</f>
        <v>0</v>
      </c>
      <c r="H12" s="21">
        <f>'[3]7)筹资预算表'!H12+'[4]7)筹资预算表'!H12+'[5]7)筹资预算表'!H12</f>
        <v>0</v>
      </c>
      <c r="I12" s="21">
        <f>'[3]7)筹资预算表'!I12+'[4]7)筹资预算表'!I12+'[5]7)筹资预算表'!I12</f>
        <v>0</v>
      </c>
      <c r="J12" s="19" t="e">
        <f t="shared" si="2"/>
        <v>#DIV/0!</v>
      </c>
      <c r="K12" s="5"/>
      <c r="L12" s="5"/>
      <c r="M12" s="5"/>
      <c r="N12" s="5"/>
    </row>
    <row r="13" spans="1:14" ht="18" customHeight="1">
      <c r="A13" s="25" t="s">
        <v>518</v>
      </c>
      <c r="B13" s="21">
        <f>'[3]7)筹资预算表'!B13+'[4]7)筹资预算表'!B13+'[5]7)筹资预算表'!B13</f>
        <v>0</v>
      </c>
      <c r="C13" s="21">
        <f>'[3]7)筹资预算表'!C13+'[4]7)筹资预算表'!C13+'[5]7)筹资预算表'!C13</f>
        <v>0</v>
      </c>
      <c r="D13" s="11">
        <f>B13+C13</f>
        <v>0</v>
      </c>
      <c r="E13" s="11">
        <f>SUM(F13:I13)</f>
        <v>0</v>
      </c>
      <c r="F13" s="21">
        <f>'[3]7)筹资预算表'!F13+'[4]7)筹资预算表'!F13+'[5]7)筹资预算表'!F13</f>
        <v>0</v>
      </c>
      <c r="G13" s="21">
        <f>'[3]7)筹资预算表'!G13+'[4]7)筹资预算表'!G13+'[5]7)筹资预算表'!G13</f>
        <v>0</v>
      </c>
      <c r="H13" s="21">
        <f>'[3]7)筹资预算表'!H13+'[4]7)筹资预算表'!H13+'[5]7)筹资预算表'!H13</f>
        <v>0</v>
      </c>
      <c r="I13" s="21">
        <f>'[3]7)筹资预算表'!I13+'[4]7)筹资预算表'!I13+'[5]7)筹资预算表'!I13</f>
        <v>0</v>
      </c>
      <c r="J13" s="19" t="e">
        <f t="shared" si="2"/>
        <v>#DIV/0!</v>
      </c>
      <c r="K13" s="5"/>
      <c r="L13" s="5"/>
      <c r="M13" s="5"/>
      <c r="N13" s="5"/>
    </row>
    <row r="14" spans="1:14" ht="18" customHeight="1">
      <c r="A14" s="25" t="s">
        <v>519</v>
      </c>
      <c r="B14" s="21">
        <f>'[3]7)筹资预算表'!B14+'[4]7)筹资预算表'!B14+'[5]7)筹资预算表'!B14</f>
        <v>0</v>
      </c>
      <c r="C14" s="21">
        <f>'[3]7)筹资预算表'!C14+'[4]7)筹资预算表'!C14+'[5]7)筹资预算表'!C14</f>
        <v>0</v>
      </c>
      <c r="D14" s="11">
        <f>B14+C14</f>
        <v>0</v>
      </c>
      <c r="E14" s="11">
        <f>SUM(F14:I14)</f>
        <v>0</v>
      </c>
      <c r="F14" s="21">
        <f>'[3]7)筹资预算表'!F14+'[4]7)筹资预算表'!F14+'[5]7)筹资预算表'!F14</f>
        <v>0</v>
      </c>
      <c r="G14" s="21">
        <f>'[3]7)筹资预算表'!G14+'[4]7)筹资预算表'!G14+'[5]7)筹资预算表'!G14</f>
        <v>0</v>
      </c>
      <c r="H14" s="21">
        <f>'[3]7)筹资预算表'!H14+'[4]7)筹资预算表'!H14+'[5]7)筹资预算表'!H14</f>
        <v>0</v>
      </c>
      <c r="I14" s="21">
        <f>'[3]7)筹资预算表'!I14+'[4]7)筹资预算表'!I14+'[5]7)筹资预算表'!I14</f>
        <v>0</v>
      </c>
      <c r="J14" s="19" t="e">
        <f t="shared" si="2"/>
        <v>#DIV/0!</v>
      </c>
      <c r="K14" s="5"/>
      <c r="L14" s="5"/>
      <c r="M14" s="5"/>
      <c r="N14" s="5"/>
    </row>
    <row r="15" spans="1:14" ht="18" customHeight="1">
      <c r="A15" s="25" t="s">
        <v>520</v>
      </c>
      <c r="B15" s="21">
        <f>'[3]7)筹资预算表'!B15+'[4]7)筹资预算表'!B15+'[5]7)筹资预算表'!B15</f>
        <v>0</v>
      </c>
      <c r="C15" s="21">
        <f>'[3]7)筹资预算表'!C15+'[4]7)筹资预算表'!C15+'[5]7)筹资预算表'!C15</f>
        <v>0</v>
      </c>
      <c r="D15" s="11">
        <f>B15+C15</f>
        <v>0</v>
      </c>
      <c r="E15" s="11">
        <f>SUM(F15:I15)</f>
        <v>0</v>
      </c>
      <c r="F15" s="21">
        <f>'[3]7)筹资预算表'!F15+'[4]7)筹资预算表'!F15+'[5]7)筹资预算表'!F15</f>
        <v>0</v>
      </c>
      <c r="G15" s="21">
        <f>'[3]7)筹资预算表'!G15+'[4]7)筹资预算表'!G15+'[5]7)筹资预算表'!G15</f>
        <v>0</v>
      </c>
      <c r="H15" s="21">
        <f>'[3]7)筹资预算表'!H15+'[4]7)筹资预算表'!H15+'[5]7)筹资预算表'!H15</f>
        <v>0</v>
      </c>
      <c r="I15" s="21">
        <f>'[3]7)筹资预算表'!I15+'[4]7)筹资预算表'!I15+'[5]7)筹资预算表'!I15</f>
        <v>0</v>
      </c>
      <c r="J15" s="19" t="e">
        <f t="shared" si="2"/>
        <v>#DIV/0!</v>
      </c>
      <c r="K15" s="5"/>
      <c r="L15" s="5"/>
      <c r="M15" s="5"/>
      <c r="N15" s="5"/>
    </row>
    <row r="16" spans="1:14" ht="18" customHeight="1">
      <c r="A16" s="5"/>
      <c r="B16" s="16"/>
      <c r="C16" s="4" t="s">
        <v>340</v>
      </c>
      <c r="D16" s="5"/>
      <c r="E16" s="5"/>
      <c r="F16" s="16"/>
      <c r="G16" s="4" t="s">
        <v>380</v>
      </c>
      <c r="H16" s="5"/>
      <c r="I16" s="5"/>
      <c r="J16" s="5"/>
      <c r="K16" s="5"/>
      <c r="L16" s="5"/>
      <c r="M16" s="5"/>
      <c r="N16" s="5"/>
    </row>
    <row r="17" spans="1:14" ht="18" customHeight="1">
      <c r="A17" s="5" t="s">
        <v>457</v>
      </c>
      <c r="B17" s="16"/>
      <c r="C17" s="5"/>
      <c r="D17" s="5"/>
      <c r="E17" s="5"/>
      <c r="F17" s="16"/>
      <c r="G17" s="5"/>
      <c r="H17" s="5"/>
      <c r="I17" s="5"/>
      <c r="J17" s="5"/>
      <c r="K17" s="5"/>
      <c r="L17" s="5"/>
      <c r="M17" s="5"/>
      <c r="N17" s="5"/>
    </row>
    <row r="18" spans="1:14" ht="18" customHeight="1">
      <c r="A18" s="5" t="s">
        <v>521</v>
      </c>
      <c r="B18" s="5" t="s">
        <v>521</v>
      </c>
      <c r="C18" s="5" t="s">
        <v>521</v>
      </c>
      <c r="D18" s="5" t="s">
        <v>521</v>
      </c>
      <c r="E18" s="5" t="s">
        <v>521</v>
      </c>
      <c r="F18" s="5" t="s">
        <v>521</v>
      </c>
      <c r="G18" s="5" t="s">
        <v>521</v>
      </c>
      <c r="H18" s="5" t="s">
        <v>521</v>
      </c>
      <c r="I18" s="5" t="s">
        <v>521</v>
      </c>
      <c r="J18" s="5" t="s">
        <v>521</v>
      </c>
      <c r="K18" s="5" t="s">
        <v>521</v>
      </c>
      <c r="L18" s="5" t="s">
        <v>521</v>
      </c>
      <c r="M18" s="5" t="s">
        <v>521</v>
      </c>
      <c r="N18" s="5"/>
    </row>
    <row r="19" spans="1:14" ht="18" customHeight="1">
      <c r="A19" s="5" t="s">
        <v>522</v>
      </c>
      <c r="B19" s="5" t="s">
        <v>522</v>
      </c>
      <c r="C19" s="5" t="s">
        <v>522</v>
      </c>
      <c r="D19" s="5" t="s">
        <v>522</v>
      </c>
      <c r="E19" s="5" t="s">
        <v>522</v>
      </c>
      <c r="F19" s="5" t="s">
        <v>522</v>
      </c>
      <c r="G19" s="5" t="s">
        <v>522</v>
      </c>
      <c r="H19" s="5" t="s">
        <v>522</v>
      </c>
      <c r="I19" s="5" t="s">
        <v>522</v>
      </c>
      <c r="J19" s="5" t="s">
        <v>522</v>
      </c>
      <c r="K19" s="5" t="s">
        <v>522</v>
      </c>
      <c r="L19" s="5" t="s">
        <v>522</v>
      </c>
      <c r="M19" s="5" t="s">
        <v>522</v>
      </c>
      <c r="N19" s="5"/>
    </row>
    <row r="20" spans="1:14" ht="18" customHeight="1">
      <c r="A20" s="5" t="s">
        <v>523</v>
      </c>
      <c r="B20" s="5" t="s">
        <v>523</v>
      </c>
      <c r="C20" s="5" t="s">
        <v>523</v>
      </c>
      <c r="D20" s="5" t="s">
        <v>523</v>
      </c>
      <c r="E20" s="5" t="s">
        <v>523</v>
      </c>
      <c r="F20" s="5" t="s">
        <v>523</v>
      </c>
      <c r="G20" s="5" t="s">
        <v>523</v>
      </c>
      <c r="H20" s="5" t="s">
        <v>523</v>
      </c>
      <c r="I20" s="5" t="s">
        <v>523</v>
      </c>
      <c r="J20" s="5" t="s">
        <v>523</v>
      </c>
      <c r="K20" s="5" t="s">
        <v>523</v>
      </c>
      <c r="L20" s="5" t="s">
        <v>523</v>
      </c>
      <c r="M20" s="5" t="s">
        <v>523</v>
      </c>
      <c r="N20" s="5"/>
    </row>
    <row r="21" spans="1:14" ht="18" customHeight="1">
      <c r="A21" s="5"/>
      <c r="B21" s="16"/>
      <c r="C21" s="5"/>
      <c r="D21" s="5"/>
      <c r="E21" s="5"/>
      <c r="F21" s="16"/>
      <c r="G21" s="5"/>
      <c r="H21" s="5"/>
      <c r="I21" s="5"/>
      <c r="J21" s="5"/>
      <c r="K21" s="5"/>
      <c r="L21" s="5"/>
      <c r="M21" s="5"/>
      <c r="N21" s="5"/>
    </row>
    <row r="22" spans="1:14" ht="18" customHeight="1">
      <c r="A22" s="5" t="s">
        <v>503</v>
      </c>
      <c r="B22" s="16"/>
      <c r="C22" s="5"/>
      <c r="D22" s="5"/>
      <c r="E22" s="5"/>
      <c r="F22" s="16"/>
      <c r="G22" s="5"/>
      <c r="H22" s="5"/>
      <c r="I22" s="5"/>
      <c r="J22" s="5"/>
      <c r="K22" s="5"/>
      <c r="L22" s="5"/>
      <c r="M22" s="5"/>
      <c r="N22" s="5"/>
    </row>
    <row r="23" spans="1:14" ht="18" customHeight="1">
      <c r="A23" s="2"/>
      <c r="B23" s="2"/>
      <c r="C23" s="2"/>
      <c r="D23" s="2"/>
      <c r="E23" s="2"/>
      <c r="F23" s="2"/>
      <c r="G23" s="2"/>
      <c r="H23" s="2"/>
      <c r="I23" s="2"/>
      <c r="J23" s="2"/>
      <c r="K23" s="2"/>
      <c r="L23" s="2"/>
      <c r="M23" s="2"/>
      <c r="N23" s="2"/>
    </row>
    <row r="24" spans="1:14" ht="18" customHeight="1">
      <c r="A24" s="2"/>
      <c r="B24" s="2"/>
      <c r="C24" s="2"/>
      <c r="D24" s="2"/>
      <c r="E24" s="2"/>
      <c r="F24" s="2"/>
      <c r="G24" s="2"/>
      <c r="H24" s="2"/>
      <c r="I24" s="2"/>
      <c r="J24" s="2"/>
      <c r="K24" s="2"/>
      <c r="L24" s="2"/>
      <c r="M24" s="2"/>
      <c r="N24" s="2"/>
    </row>
    <row r="25" spans="1:14" ht="18" customHeight="1">
      <c r="A25" s="2"/>
      <c r="B25" s="2"/>
      <c r="C25" s="2"/>
      <c r="D25" s="2"/>
      <c r="E25" s="2"/>
      <c r="F25" s="2"/>
      <c r="G25" s="2"/>
      <c r="H25" s="2"/>
      <c r="I25" s="2"/>
      <c r="J25" s="2"/>
      <c r="K25" s="2"/>
      <c r="L25" s="2"/>
      <c r="M25" s="2"/>
      <c r="N25" s="2"/>
    </row>
    <row r="26" spans="1:14" ht="18" customHeight="1">
      <c r="A26" s="2"/>
      <c r="B26" s="2"/>
      <c r="C26" s="2"/>
      <c r="D26" s="2"/>
      <c r="E26" s="2"/>
      <c r="F26" s="2"/>
      <c r="G26" s="2"/>
      <c r="H26" s="2"/>
      <c r="I26" s="2"/>
      <c r="J26" s="2"/>
      <c r="K26" s="2"/>
      <c r="L26" s="2"/>
      <c r="M26" s="2"/>
      <c r="N26" s="2"/>
    </row>
    <row r="27" spans="1:14" ht="18" customHeight="1">
      <c r="A27" s="2"/>
      <c r="B27" s="2"/>
      <c r="C27" s="2"/>
      <c r="D27" s="2"/>
      <c r="E27" s="2"/>
      <c r="F27" s="2"/>
      <c r="G27" s="2"/>
      <c r="H27" s="2"/>
      <c r="I27" s="2"/>
      <c r="J27" s="2"/>
      <c r="K27" s="2"/>
      <c r="L27" s="2"/>
      <c r="M27" s="2"/>
      <c r="N27" s="2"/>
    </row>
  </sheetData>
  <sheetProtection/>
  <mergeCells count="14">
    <mergeCell ref="A1:N1"/>
    <mergeCell ref="B3:D3"/>
    <mergeCell ref="E3:I3"/>
    <mergeCell ref="K3:N3"/>
    <mergeCell ref="A18:M18"/>
    <mergeCell ref="A19:M19"/>
    <mergeCell ref="A20:M20"/>
    <mergeCell ref="A23:N23"/>
    <mergeCell ref="A24:N24"/>
    <mergeCell ref="A25:N25"/>
    <mergeCell ref="A26:N26"/>
    <mergeCell ref="A27:N27"/>
    <mergeCell ref="A3:A4"/>
    <mergeCell ref="J3:J4"/>
  </mergeCells>
  <printOptions/>
  <pageMargins left="0.75" right="0.75" top="1" bottom="1" header="0.5" footer="0.5"/>
  <pageSetup fitToHeight="1" fitToWidth="1" horizontalDpi="300" verticalDpi="300" orientation="landscape" paperSize="9" scale="65"/>
</worksheet>
</file>

<file path=xl/worksheets/sheet8.xml><?xml version="1.0" encoding="utf-8"?>
<worksheet xmlns="http://schemas.openxmlformats.org/spreadsheetml/2006/main" xmlns:r="http://schemas.openxmlformats.org/officeDocument/2006/relationships">
  <sheetPr>
    <pageSetUpPr fitToPage="1"/>
  </sheetPr>
  <dimension ref="A1:L29"/>
  <sheetViews>
    <sheetView workbookViewId="0" topLeftCell="A1">
      <selection activeCell="K10" sqref="K10"/>
    </sheetView>
  </sheetViews>
  <sheetFormatPr defaultColWidth="9.140625" defaultRowHeight="12.75"/>
  <cols>
    <col min="1" max="1" width="11.57421875" style="0" customWidth="1"/>
    <col min="2" max="2" width="26.8515625" style="0" customWidth="1"/>
    <col min="3" max="3" width="11.28125" style="0" customWidth="1"/>
    <col min="4" max="4" width="8.57421875" style="0" customWidth="1"/>
    <col min="5" max="11" width="13.421875" style="0" customWidth="1"/>
    <col min="12" max="12" width="12.7109375" style="0" customWidth="1"/>
  </cols>
  <sheetData>
    <row r="1" spans="1:12" ht="40.5" customHeight="1">
      <c r="A1" s="23"/>
      <c r="B1" s="23" t="s">
        <v>524</v>
      </c>
      <c r="C1" s="23" t="s">
        <v>524</v>
      </c>
      <c r="D1" s="23" t="s">
        <v>524</v>
      </c>
      <c r="E1" s="23" t="s">
        <v>524</v>
      </c>
      <c r="F1" s="23" t="s">
        <v>524</v>
      </c>
      <c r="G1" s="23" t="s">
        <v>524</v>
      </c>
      <c r="H1" s="23" t="s">
        <v>524</v>
      </c>
      <c r="I1" s="23" t="s">
        <v>524</v>
      </c>
      <c r="J1" s="23" t="s">
        <v>524</v>
      </c>
      <c r="K1" s="23" t="s">
        <v>524</v>
      </c>
      <c r="L1" s="23" t="s">
        <v>524</v>
      </c>
    </row>
    <row r="2" spans="1:12" ht="18" customHeight="1">
      <c r="A2" s="5" t="s">
        <v>287</v>
      </c>
      <c r="B2" s="45"/>
      <c r="C2" s="47"/>
      <c r="D2" s="5"/>
      <c r="F2" s="17" t="s">
        <v>288</v>
      </c>
      <c r="G2" s="16"/>
      <c r="H2" s="16"/>
      <c r="I2" s="16"/>
      <c r="J2" s="16"/>
      <c r="K2" s="16" t="s">
        <v>1</v>
      </c>
      <c r="L2" s="5"/>
    </row>
    <row r="3" spans="1:12" ht="18" customHeight="1">
      <c r="A3" s="9" t="s">
        <v>2</v>
      </c>
      <c r="B3" s="9" t="s">
        <v>525</v>
      </c>
      <c r="C3" s="9" t="s">
        <v>526</v>
      </c>
      <c r="D3" s="9" t="s">
        <v>527</v>
      </c>
      <c r="E3" s="9" t="s">
        <v>528</v>
      </c>
      <c r="F3" s="9" t="s">
        <v>387</v>
      </c>
      <c r="G3" s="9" t="s">
        <v>292</v>
      </c>
      <c r="H3" s="9" t="s">
        <v>292</v>
      </c>
      <c r="I3" s="9" t="s">
        <v>292</v>
      </c>
      <c r="J3" s="9" t="s">
        <v>292</v>
      </c>
      <c r="K3" s="9" t="s">
        <v>292</v>
      </c>
      <c r="L3" s="9" t="s">
        <v>33</v>
      </c>
    </row>
    <row r="4" spans="1:12" ht="18" customHeight="1">
      <c r="A4" s="9" t="s">
        <v>2</v>
      </c>
      <c r="B4" s="9" t="s">
        <v>525</v>
      </c>
      <c r="C4" s="9" t="s">
        <v>526</v>
      </c>
      <c r="D4" s="9" t="s">
        <v>527</v>
      </c>
      <c r="E4" s="9" t="s">
        <v>528</v>
      </c>
      <c r="F4" s="9" t="s">
        <v>387</v>
      </c>
      <c r="G4" s="9" t="s">
        <v>314</v>
      </c>
      <c r="H4" s="116" t="s">
        <v>324</v>
      </c>
      <c r="I4" s="116" t="s">
        <v>331</v>
      </c>
      <c r="J4" s="116" t="s">
        <v>334</v>
      </c>
      <c r="K4" s="116" t="s">
        <v>336</v>
      </c>
      <c r="L4" s="5"/>
    </row>
    <row r="5" spans="1:12" ht="18" customHeight="1">
      <c r="A5" s="9" t="s">
        <v>2</v>
      </c>
      <c r="B5" s="18" t="s">
        <v>529</v>
      </c>
      <c r="C5" s="18" t="s">
        <v>530</v>
      </c>
      <c r="D5" s="18" t="s">
        <v>530</v>
      </c>
      <c r="E5" s="11">
        <f aca="true" t="shared" si="0" ref="E5:K5">SUM(E6:E19)</f>
        <v>12000000</v>
      </c>
      <c r="F5" s="11">
        <f t="shared" si="0"/>
        <v>10000000</v>
      </c>
      <c r="G5" s="11">
        <f t="shared" si="0"/>
        <v>0</v>
      </c>
      <c r="H5" s="11">
        <f t="shared" si="0"/>
        <v>0</v>
      </c>
      <c r="I5" s="11">
        <f t="shared" si="0"/>
        <v>0</v>
      </c>
      <c r="J5" s="11">
        <f t="shared" si="0"/>
        <v>0</v>
      </c>
      <c r="K5" s="11">
        <f t="shared" si="0"/>
        <v>0</v>
      </c>
      <c r="L5" s="5"/>
    </row>
    <row r="6" spans="1:12" ht="18" customHeight="1">
      <c r="A6" s="9" t="s">
        <v>531</v>
      </c>
      <c r="B6" s="5" t="str">
        <f>'[3]8)权益性投资预算表'!B6</f>
        <v>海口三江农场物业服务有限公司</v>
      </c>
      <c r="C6" s="5" t="str">
        <f>'[3]8)权益性投资预算表'!C6</f>
        <v>货币投入</v>
      </c>
      <c r="D6" s="5" t="str">
        <f>'[3]8)权益性投资预算表'!D6</f>
        <v>全资</v>
      </c>
      <c r="E6" s="21">
        <f>'[3]8)权益性投资预算表'!E6</f>
        <v>2000000</v>
      </c>
      <c r="F6" s="21">
        <f>'[3]8)权益性投资预算表'!F6</f>
        <v>2000000</v>
      </c>
      <c r="G6" s="11">
        <f>SUM(H6:K6)</f>
        <v>0</v>
      </c>
      <c r="H6" s="21">
        <f>'[3]8)权益性投资预算表'!H6</f>
        <v>0</v>
      </c>
      <c r="I6" s="21">
        <f>'[3]8)权益性投资预算表'!I6</f>
        <v>0</v>
      </c>
      <c r="J6" s="21">
        <f>'[3]8)权益性投资预算表'!J6</f>
        <v>0</v>
      </c>
      <c r="K6" s="21">
        <f>'[3]8)权益性投资预算表'!K6</f>
        <v>0</v>
      </c>
      <c r="L6" s="5"/>
    </row>
    <row r="7" spans="1:12" ht="18" customHeight="1">
      <c r="A7" s="9" t="s">
        <v>532</v>
      </c>
      <c r="B7" s="5" t="str">
        <f>'[3]8)权益性投资预算表'!B7</f>
        <v>海口福满三江农业开发有限公司</v>
      </c>
      <c r="C7" s="5" t="str">
        <f>'[3]8)权益性投资预算表'!C7</f>
        <v>货币投入</v>
      </c>
      <c r="D7" s="5" t="str">
        <f>'[3]8)权益性投资预算表'!D7</f>
        <v>全资</v>
      </c>
      <c r="E7" s="21">
        <f>'[3]8)权益性投资预算表'!E7</f>
        <v>10000000</v>
      </c>
      <c r="F7" s="21">
        <v>8000000</v>
      </c>
      <c r="G7" s="11">
        <f aca="true" t="shared" si="1" ref="G7:G19">SUM(H7:K7)</f>
        <v>0</v>
      </c>
      <c r="H7" s="21">
        <v>0</v>
      </c>
      <c r="I7" s="21">
        <f>'[3]8)权益性投资预算表'!I7</f>
        <v>0</v>
      </c>
      <c r="J7" s="21">
        <f>'[3]8)权益性投资预算表'!J7</f>
        <v>0</v>
      </c>
      <c r="K7" s="21">
        <v>0</v>
      </c>
      <c r="L7" s="5"/>
    </row>
    <row r="8" spans="1:12" ht="18" customHeight="1">
      <c r="A8" s="9" t="s">
        <v>533</v>
      </c>
      <c r="B8" s="5"/>
      <c r="C8" s="5"/>
      <c r="D8" s="5"/>
      <c r="E8" s="12"/>
      <c r="F8" s="12"/>
      <c r="G8" s="11">
        <f t="shared" si="1"/>
        <v>0</v>
      </c>
      <c r="H8" s="12"/>
      <c r="I8" s="12"/>
      <c r="J8" s="12"/>
      <c r="K8" s="12"/>
      <c r="L8" s="5"/>
    </row>
    <row r="9" spans="1:12" ht="18" customHeight="1">
      <c r="A9" s="9" t="s">
        <v>534</v>
      </c>
      <c r="B9" s="5"/>
      <c r="C9" s="5"/>
      <c r="D9" s="5"/>
      <c r="E9" s="12"/>
      <c r="F9" s="12"/>
      <c r="G9" s="11">
        <f t="shared" si="1"/>
        <v>0</v>
      </c>
      <c r="H9" s="12"/>
      <c r="I9" s="12"/>
      <c r="J9" s="12"/>
      <c r="K9" s="12"/>
      <c r="L9" s="5"/>
    </row>
    <row r="10" spans="1:12" ht="18" customHeight="1">
      <c r="A10" s="9" t="s">
        <v>535</v>
      </c>
      <c r="B10" s="5"/>
      <c r="C10" s="5"/>
      <c r="D10" s="5"/>
      <c r="E10" s="12"/>
      <c r="F10" s="12"/>
      <c r="G10" s="11">
        <f t="shared" si="1"/>
        <v>0</v>
      </c>
      <c r="H10" s="12"/>
      <c r="I10" s="12"/>
      <c r="J10" s="12"/>
      <c r="K10" s="12"/>
      <c r="L10" s="5"/>
    </row>
    <row r="11" spans="1:12" ht="18" customHeight="1">
      <c r="A11" s="9" t="s">
        <v>536</v>
      </c>
      <c r="B11" s="5"/>
      <c r="C11" s="5"/>
      <c r="D11" s="5"/>
      <c r="E11" s="12"/>
      <c r="F11" s="12"/>
      <c r="G11" s="11">
        <f t="shared" si="1"/>
        <v>0</v>
      </c>
      <c r="H11" s="12"/>
      <c r="I11" s="12"/>
      <c r="J11" s="12"/>
      <c r="K11" s="12"/>
      <c r="L11" s="5"/>
    </row>
    <row r="12" spans="1:12" ht="18" customHeight="1">
      <c r="A12" s="9" t="s">
        <v>537</v>
      </c>
      <c r="B12" s="5"/>
      <c r="C12" s="5"/>
      <c r="D12" s="5"/>
      <c r="E12" s="12"/>
      <c r="F12" s="12"/>
      <c r="G12" s="11">
        <f t="shared" si="1"/>
        <v>0</v>
      </c>
      <c r="H12" s="12"/>
      <c r="I12" s="12"/>
      <c r="J12" s="12"/>
      <c r="K12" s="12"/>
      <c r="L12" s="5"/>
    </row>
    <row r="13" spans="1:12" ht="18" customHeight="1">
      <c r="A13" s="9" t="s">
        <v>538</v>
      </c>
      <c r="B13" s="5"/>
      <c r="C13" s="5"/>
      <c r="D13" s="5"/>
      <c r="E13" s="12"/>
      <c r="F13" s="12"/>
      <c r="G13" s="11">
        <f t="shared" si="1"/>
        <v>0</v>
      </c>
      <c r="H13" s="12"/>
      <c r="I13" s="12"/>
      <c r="J13" s="12"/>
      <c r="K13" s="12"/>
      <c r="L13" s="5"/>
    </row>
    <row r="14" spans="1:12" ht="18" customHeight="1">
      <c r="A14" s="9" t="s">
        <v>539</v>
      </c>
      <c r="B14" s="5"/>
      <c r="C14" s="5"/>
      <c r="D14" s="5"/>
      <c r="E14" s="12"/>
      <c r="F14" s="12"/>
      <c r="G14" s="11">
        <f t="shared" si="1"/>
        <v>0</v>
      </c>
      <c r="H14" s="12"/>
      <c r="I14" s="12"/>
      <c r="J14" s="12"/>
      <c r="K14" s="12"/>
      <c r="L14" s="5"/>
    </row>
    <row r="15" spans="1:12" ht="18" customHeight="1">
      <c r="A15" s="9" t="s">
        <v>540</v>
      </c>
      <c r="B15" s="5"/>
      <c r="C15" s="5"/>
      <c r="D15" s="5"/>
      <c r="E15" s="12"/>
      <c r="F15" s="12"/>
      <c r="G15" s="11">
        <f t="shared" si="1"/>
        <v>0</v>
      </c>
      <c r="H15" s="12"/>
      <c r="I15" s="12"/>
      <c r="J15" s="12"/>
      <c r="K15" s="12"/>
      <c r="L15" s="5"/>
    </row>
    <row r="16" spans="1:12" ht="18" customHeight="1">
      <c r="A16" s="9" t="s">
        <v>541</v>
      </c>
      <c r="B16" s="5"/>
      <c r="C16" s="5"/>
      <c r="D16" s="5"/>
      <c r="E16" s="12"/>
      <c r="F16" s="12"/>
      <c r="G16" s="11">
        <f t="shared" si="1"/>
        <v>0</v>
      </c>
      <c r="H16" s="12"/>
      <c r="I16" s="12"/>
      <c r="J16" s="12"/>
      <c r="K16" s="12"/>
      <c r="L16" s="5"/>
    </row>
    <row r="17" spans="1:12" ht="18" customHeight="1">
      <c r="A17" s="9" t="s">
        <v>542</v>
      </c>
      <c r="B17" s="5"/>
      <c r="C17" s="5"/>
      <c r="D17" s="5"/>
      <c r="E17" s="12"/>
      <c r="F17" s="12"/>
      <c r="G17" s="11">
        <f t="shared" si="1"/>
        <v>0</v>
      </c>
      <c r="H17" s="12"/>
      <c r="I17" s="12"/>
      <c r="J17" s="12"/>
      <c r="K17" s="12"/>
      <c r="L17" s="5"/>
    </row>
    <row r="18" spans="1:12" ht="18" customHeight="1">
      <c r="A18" s="9" t="s">
        <v>543</v>
      </c>
      <c r="B18" s="5"/>
      <c r="C18" s="5"/>
      <c r="D18" s="5"/>
      <c r="E18" s="12"/>
      <c r="F18" s="12"/>
      <c r="G18" s="11">
        <f t="shared" si="1"/>
        <v>0</v>
      </c>
      <c r="H18" s="12"/>
      <c r="I18" s="12"/>
      <c r="J18" s="12"/>
      <c r="K18" s="12"/>
      <c r="L18" s="5"/>
    </row>
    <row r="19" spans="1:12" ht="18" customHeight="1">
      <c r="A19" s="9" t="s">
        <v>544</v>
      </c>
      <c r="B19" s="5"/>
      <c r="C19" s="5"/>
      <c r="D19" s="5"/>
      <c r="E19" s="12"/>
      <c r="F19" s="12"/>
      <c r="G19" s="11">
        <f t="shared" si="1"/>
        <v>0</v>
      </c>
      <c r="H19" s="12"/>
      <c r="I19" s="12"/>
      <c r="J19" s="12"/>
      <c r="K19" s="12"/>
      <c r="L19" s="5"/>
    </row>
    <row r="20" spans="1:12" ht="18" customHeight="1">
      <c r="A20" s="5"/>
      <c r="B20" s="16"/>
      <c r="C20" s="4" t="s">
        <v>340</v>
      </c>
      <c r="D20" s="5"/>
      <c r="E20" s="16"/>
      <c r="F20" s="16"/>
      <c r="G20" s="16"/>
      <c r="H20" s="4" t="s">
        <v>380</v>
      </c>
      <c r="I20" s="5"/>
      <c r="J20" s="5"/>
      <c r="K20" s="5"/>
      <c r="L20" s="5"/>
    </row>
    <row r="21" spans="1:12" ht="18" customHeight="1">
      <c r="A21" s="16" t="s">
        <v>457</v>
      </c>
      <c r="B21" s="5" t="s">
        <v>545</v>
      </c>
      <c r="C21" s="5" t="s">
        <v>545</v>
      </c>
      <c r="D21" s="5" t="s">
        <v>545</v>
      </c>
      <c r="E21" s="5" t="s">
        <v>545</v>
      </c>
      <c r="F21" s="5" t="s">
        <v>545</v>
      </c>
      <c r="G21" s="5" t="s">
        <v>545</v>
      </c>
      <c r="H21" s="5" t="s">
        <v>545</v>
      </c>
      <c r="I21" s="5" t="s">
        <v>545</v>
      </c>
      <c r="J21" s="5" t="s">
        <v>545</v>
      </c>
      <c r="K21" s="5" t="s">
        <v>545</v>
      </c>
      <c r="L21" s="5" t="s">
        <v>545</v>
      </c>
    </row>
    <row r="22" spans="1:12" ht="18" customHeight="1">
      <c r="A22" s="5"/>
      <c r="B22" s="5" t="s">
        <v>546</v>
      </c>
      <c r="C22" s="5" t="s">
        <v>546</v>
      </c>
      <c r="D22" s="5" t="s">
        <v>546</v>
      </c>
      <c r="E22" s="5" t="s">
        <v>546</v>
      </c>
      <c r="F22" s="5" t="s">
        <v>546</v>
      </c>
      <c r="G22" s="5" t="s">
        <v>546</v>
      </c>
      <c r="H22" s="5" t="s">
        <v>546</v>
      </c>
      <c r="I22" s="5" t="s">
        <v>546</v>
      </c>
      <c r="J22" s="5" t="s">
        <v>546</v>
      </c>
      <c r="K22" s="5" t="s">
        <v>546</v>
      </c>
      <c r="L22" s="5" t="s">
        <v>546</v>
      </c>
    </row>
    <row r="23" spans="1:12" ht="18" customHeight="1">
      <c r="A23" s="5"/>
      <c r="B23" s="5" t="s">
        <v>547</v>
      </c>
      <c r="C23" s="5" t="s">
        <v>547</v>
      </c>
      <c r="D23" s="5" t="s">
        <v>547</v>
      </c>
      <c r="E23" s="5" t="s">
        <v>547</v>
      </c>
      <c r="F23" s="5" t="s">
        <v>547</v>
      </c>
      <c r="G23" s="5" t="s">
        <v>547</v>
      </c>
      <c r="H23" s="5" t="s">
        <v>547</v>
      </c>
      <c r="I23" s="5" t="s">
        <v>547</v>
      </c>
      <c r="J23" s="5" t="s">
        <v>547</v>
      </c>
      <c r="K23" s="5" t="s">
        <v>547</v>
      </c>
      <c r="L23" s="5" t="s">
        <v>547</v>
      </c>
    </row>
    <row r="24" spans="1:12" ht="18" customHeight="1">
      <c r="A24" s="5"/>
      <c r="B24" s="5" t="s">
        <v>548</v>
      </c>
      <c r="C24" s="5" t="s">
        <v>548</v>
      </c>
      <c r="D24" s="5" t="s">
        <v>548</v>
      </c>
      <c r="E24" s="5" t="s">
        <v>548</v>
      </c>
      <c r="F24" s="5" t="s">
        <v>548</v>
      </c>
      <c r="G24" s="5" t="s">
        <v>548</v>
      </c>
      <c r="H24" s="5" t="s">
        <v>548</v>
      </c>
      <c r="I24" s="5" t="s">
        <v>548</v>
      </c>
      <c r="J24" s="5" t="s">
        <v>548</v>
      </c>
      <c r="K24" s="5" t="s">
        <v>548</v>
      </c>
      <c r="L24" s="5" t="s">
        <v>548</v>
      </c>
    </row>
    <row r="25" spans="1:12" ht="18" customHeight="1">
      <c r="A25" s="5" t="s">
        <v>503</v>
      </c>
      <c r="B25" s="2"/>
      <c r="C25" s="2"/>
      <c r="D25" s="2"/>
      <c r="E25" s="2"/>
      <c r="F25" s="2"/>
      <c r="G25" s="2"/>
      <c r="H25" s="2"/>
      <c r="I25" s="2"/>
      <c r="J25" s="2"/>
      <c r="K25" s="2"/>
      <c r="L25" s="2"/>
    </row>
    <row r="26" spans="1:12" ht="18" customHeight="1">
      <c r="A26" s="5"/>
      <c r="B26" s="2"/>
      <c r="C26" s="2"/>
      <c r="D26" s="2"/>
      <c r="E26" s="2"/>
      <c r="F26" s="2"/>
      <c r="G26" s="2"/>
      <c r="H26" s="2"/>
      <c r="I26" s="2"/>
      <c r="J26" s="2"/>
      <c r="K26" s="2"/>
      <c r="L26" s="2"/>
    </row>
    <row r="27" spans="1:12" ht="18" customHeight="1">
      <c r="A27" s="5"/>
      <c r="B27" s="2"/>
      <c r="C27" s="2"/>
      <c r="D27" s="2"/>
      <c r="E27" s="2"/>
      <c r="F27" s="2"/>
      <c r="G27" s="2"/>
      <c r="H27" s="2"/>
      <c r="I27" s="2"/>
      <c r="J27" s="2"/>
      <c r="K27" s="2"/>
      <c r="L27" s="2"/>
    </row>
    <row r="28" spans="1:12" ht="18" customHeight="1">
      <c r="A28" s="5"/>
      <c r="B28" s="2"/>
      <c r="C28" s="2"/>
      <c r="D28" s="2"/>
      <c r="E28" s="2"/>
      <c r="F28" s="2"/>
      <c r="G28" s="2"/>
      <c r="H28" s="2"/>
      <c r="I28" s="2"/>
      <c r="J28" s="2"/>
      <c r="K28" s="2"/>
      <c r="L28" s="2"/>
    </row>
    <row r="29" spans="1:12" ht="18" customHeight="1">
      <c r="A29" s="5"/>
      <c r="B29" s="2"/>
      <c r="C29" s="2"/>
      <c r="D29" s="2"/>
      <c r="E29" s="2"/>
      <c r="F29" s="2"/>
      <c r="G29" s="2"/>
      <c r="H29" s="2"/>
      <c r="I29" s="2"/>
      <c r="J29" s="2"/>
      <c r="K29" s="2"/>
      <c r="L29" s="2"/>
    </row>
  </sheetData>
  <sheetProtection/>
  <mergeCells count="17">
    <mergeCell ref="B1:L1"/>
    <mergeCell ref="G3:K3"/>
    <mergeCell ref="B21:L21"/>
    <mergeCell ref="B22:L22"/>
    <mergeCell ref="B23:L23"/>
    <mergeCell ref="B24:L24"/>
    <mergeCell ref="B25:L25"/>
    <mergeCell ref="B26:L26"/>
    <mergeCell ref="B27:L27"/>
    <mergeCell ref="B28:L28"/>
    <mergeCell ref="B29:L29"/>
    <mergeCell ref="A3:A5"/>
    <mergeCell ref="B3:B4"/>
    <mergeCell ref="C3:C4"/>
    <mergeCell ref="D3:D4"/>
    <mergeCell ref="E3:E4"/>
    <mergeCell ref="F3:F4"/>
  </mergeCells>
  <printOptions/>
  <pageMargins left="0.75" right="0.75" top="0.76" bottom="0.98" header="0.51" footer="0.51"/>
  <pageSetup fitToHeight="1" fitToWidth="1" horizontalDpi="300" verticalDpi="3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M21"/>
  <sheetViews>
    <sheetView workbookViewId="0" topLeftCell="A1">
      <selection activeCell="O18" sqref="O18"/>
    </sheetView>
  </sheetViews>
  <sheetFormatPr defaultColWidth="9.140625" defaultRowHeight="12.75"/>
  <cols>
    <col min="1" max="1" width="11.28125" style="0" customWidth="1"/>
    <col min="2" max="2" width="22.28125" style="0" customWidth="1"/>
    <col min="3" max="13" width="14.140625" style="0" customWidth="1"/>
  </cols>
  <sheetData>
    <row r="1" spans="1:13" ht="40.5" customHeight="1">
      <c r="A1" s="23"/>
      <c r="B1" s="23" t="s">
        <v>549</v>
      </c>
      <c r="C1" s="23" t="s">
        <v>549</v>
      </c>
      <c r="D1" s="23" t="s">
        <v>549</v>
      </c>
      <c r="E1" s="23" t="s">
        <v>549</v>
      </c>
      <c r="F1" s="23" t="s">
        <v>549</v>
      </c>
      <c r="G1" s="23" t="s">
        <v>549</v>
      </c>
      <c r="H1" s="23" t="s">
        <v>549</v>
      </c>
      <c r="I1" s="23" t="s">
        <v>549</v>
      </c>
      <c r="J1" s="23" t="s">
        <v>549</v>
      </c>
      <c r="K1" s="23" t="s">
        <v>549</v>
      </c>
      <c r="L1" s="23" t="s">
        <v>549</v>
      </c>
      <c r="M1" s="23" t="s">
        <v>549</v>
      </c>
    </row>
    <row r="2" spans="1:13" ht="18" customHeight="1">
      <c r="A2" s="5" t="s">
        <v>287</v>
      </c>
      <c r="B2" s="3"/>
      <c r="C2" s="100"/>
      <c r="D2" s="5"/>
      <c r="E2" s="5"/>
      <c r="F2" s="5"/>
      <c r="G2" s="17" t="s">
        <v>288</v>
      </c>
      <c r="H2" s="16"/>
      <c r="I2" s="16"/>
      <c r="J2" s="16"/>
      <c r="K2" s="16"/>
      <c r="L2" s="16" t="s">
        <v>1</v>
      </c>
      <c r="M2" s="5"/>
    </row>
    <row r="3" spans="1:13" ht="18" customHeight="1">
      <c r="A3" s="9" t="s">
        <v>2</v>
      </c>
      <c r="B3" s="9" t="s">
        <v>550</v>
      </c>
      <c r="C3" s="9" t="s">
        <v>551</v>
      </c>
      <c r="D3" s="9" t="s">
        <v>552</v>
      </c>
      <c r="E3" s="9" t="s">
        <v>553</v>
      </c>
      <c r="F3" s="9" t="s">
        <v>554</v>
      </c>
      <c r="G3" s="9" t="s">
        <v>555</v>
      </c>
      <c r="H3" s="9" t="s">
        <v>556</v>
      </c>
      <c r="I3" s="9" t="s">
        <v>556</v>
      </c>
      <c r="J3" s="9" t="s">
        <v>556</v>
      </c>
      <c r="K3" s="9" t="s">
        <v>556</v>
      </c>
      <c r="L3" s="9" t="s">
        <v>556</v>
      </c>
      <c r="M3" s="9" t="s">
        <v>33</v>
      </c>
    </row>
    <row r="4" spans="1:13" ht="18" customHeight="1">
      <c r="A4" s="9" t="s">
        <v>2</v>
      </c>
      <c r="B4" s="9" t="s">
        <v>550</v>
      </c>
      <c r="C4" s="9" t="s">
        <v>551</v>
      </c>
      <c r="D4" s="9" t="s">
        <v>552</v>
      </c>
      <c r="E4" s="9" t="s">
        <v>553</v>
      </c>
      <c r="F4" s="9" t="s">
        <v>554</v>
      </c>
      <c r="G4" s="9" t="s">
        <v>555</v>
      </c>
      <c r="H4" s="9" t="s">
        <v>314</v>
      </c>
      <c r="I4" s="116" t="s">
        <v>324</v>
      </c>
      <c r="J4" s="116" t="s">
        <v>331</v>
      </c>
      <c r="K4" s="116" t="s">
        <v>334</v>
      </c>
      <c r="L4" s="116" t="s">
        <v>336</v>
      </c>
      <c r="M4" s="5"/>
    </row>
    <row r="5" spans="1:13" ht="18" customHeight="1">
      <c r="A5" s="9" t="s">
        <v>2</v>
      </c>
      <c r="B5" s="18" t="s">
        <v>280</v>
      </c>
      <c r="C5" s="18" t="s">
        <v>530</v>
      </c>
      <c r="D5" s="18" t="s">
        <v>530</v>
      </c>
      <c r="E5" s="18" t="s">
        <v>530</v>
      </c>
      <c r="F5" s="11">
        <f aca="true" t="shared" si="0" ref="F5:L5">SUM(F6:F11)</f>
        <v>125120</v>
      </c>
      <c r="G5" s="11">
        <f t="shared" si="0"/>
        <v>6256</v>
      </c>
      <c r="H5" s="11">
        <f t="shared" si="0"/>
        <v>5600</v>
      </c>
      <c r="I5" s="11">
        <f t="shared" si="0"/>
        <v>0</v>
      </c>
      <c r="J5" s="11">
        <f t="shared" si="0"/>
        <v>5600</v>
      </c>
      <c r="K5" s="11">
        <f t="shared" si="0"/>
        <v>0</v>
      </c>
      <c r="L5" s="11">
        <f t="shared" si="0"/>
        <v>0</v>
      </c>
      <c r="M5" s="5"/>
    </row>
    <row r="6" spans="1:13" ht="18" customHeight="1">
      <c r="A6" s="9" t="s">
        <v>531</v>
      </c>
      <c r="B6" s="5" t="s">
        <v>557</v>
      </c>
      <c r="C6" s="16">
        <f>'[3]9)资产处置预算表'!C6+'[4]9)资产处置预算表'!C6+'[5]9)资产处置预算表'!C6</f>
        <v>0</v>
      </c>
      <c r="D6" s="16">
        <f>'[3]9)资产处置预算表'!D6+'[4]9)资产处置预算表'!D6+'[5]9)资产处置预算表'!D6</f>
        <v>0</v>
      </c>
      <c r="E6" s="16">
        <f>'[3]9)资产处置预算表'!E6+'[4]9)资产处置预算表'!E6+'[5]9)资产处置预算表'!E6</f>
        <v>0</v>
      </c>
      <c r="F6" s="137">
        <f>'[3]9)资产处置预算表'!F6+'[4]9)资产处置预算表'!F6+'[5]9)资产处置预算表'!F6</f>
        <v>0</v>
      </c>
      <c r="G6" s="137">
        <f>'[3]9)资产处置预算表'!G6+'[4]9)资产处置预算表'!G6+'[5]9)资产处置预算表'!G6</f>
        <v>0</v>
      </c>
      <c r="H6" s="11">
        <f aca="true" t="shared" si="1" ref="H6:H11">SUM(I6:L6)</f>
        <v>0</v>
      </c>
      <c r="I6" s="21">
        <f>'[3]9)资产处置预算表'!I6+'[4]9)资产处置预算表'!I6+'[5]9)资产处置预算表'!I6</f>
        <v>0</v>
      </c>
      <c r="J6" s="21">
        <f>'[3]9)资产处置预算表'!J6+'[4]9)资产处置预算表'!J6+'[5]9)资产处置预算表'!J6</f>
        <v>0</v>
      </c>
      <c r="K6" s="21">
        <f>'[3]9)资产处置预算表'!K6+'[4]9)资产处置预算表'!K6+'[5]9)资产处置预算表'!K6</f>
        <v>0</v>
      </c>
      <c r="L6" s="21">
        <f>'[3]9)资产处置预算表'!L6+'[4]9)资产处置预算表'!L6+'[5]9)资产处置预算表'!L6</f>
        <v>0</v>
      </c>
      <c r="M6" s="5"/>
    </row>
    <row r="7" spans="1:13" ht="18" customHeight="1">
      <c r="A7" s="9" t="s">
        <v>532</v>
      </c>
      <c r="B7" s="5" t="s">
        <v>558</v>
      </c>
      <c r="C7" s="16">
        <f>'[3]9)资产处置预算表'!C7+'[4]9)资产处置预算表'!C7+'[5]9)资产处置预算表'!C7</f>
        <v>0</v>
      </c>
      <c r="D7" s="16">
        <f>'[3]9)资产处置预算表'!D7+'[4]9)资产处置预算表'!D7+'[5]9)资产处置预算表'!D7</f>
        <v>0</v>
      </c>
      <c r="E7" s="16">
        <f>'[3]9)资产处置预算表'!E7+'[4]9)资产处置预算表'!E7+'[5]9)资产处置预算表'!E7</f>
        <v>0</v>
      </c>
      <c r="F7" s="137">
        <f>'[3]9)资产处置预算表'!F7+'[4]9)资产处置预算表'!F7+'[5]9)资产处置预算表'!F7</f>
        <v>0</v>
      </c>
      <c r="G7" s="137">
        <f>'[3]9)资产处置预算表'!G7+'[4]9)资产处置预算表'!G7+'[5]9)资产处置预算表'!G7</f>
        <v>0</v>
      </c>
      <c r="H7" s="11">
        <f t="shared" si="1"/>
        <v>500</v>
      </c>
      <c r="I7" s="21">
        <f>'[3]9)资产处置预算表'!I7+'[4]9)资产处置预算表'!I7+'[5]9)资产处置预算表'!I7</f>
        <v>0</v>
      </c>
      <c r="J7" s="21">
        <f>'[3]9)资产处置预算表'!J7+'[4]9)资产处置预算表'!J7+'[5]9)资产处置预算表'!J7</f>
        <v>500</v>
      </c>
      <c r="K7" s="21">
        <f>'[3]9)资产处置预算表'!K7+'[4]9)资产处置预算表'!K7+'[5]9)资产处置预算表'!K7</f>
        <v>0</v>
      </c>
      <c r="L7" s="21">
        <f>'[3]9)资产处置预算表'!L7+'[4]9)资产处置预算表'!L7+'[5]9)资产处置预算表'!L7</f>
        <v>0</v>
      </c>
      <c r="M7" s="5"/>
    </row>
    <row r="8" spans="1:13" ht="18" customHeight="1">
      <c r="A8" s="9" t="s">
        <v>533</v>
      </c>
      <c r="B8" s="5" t="s">
        <v>559</v>
      </c>
      <c r="C8" s="16" t="s">
        <v>560</v>
      </c>
      <c r="D8" s="16" t="s">
        <v>561</v>
      </c>
      <c r="E8" s="16">
        <f>'[3]9)资产处置预算表'!E8+'[4]9)资产处置预算表'!E8+'[5]9)资产处置预算表'!E8</f>
        <v>0</v>
      </c>
      <c r="F8" s="137">
        <f>'[3]9)资产处置预算表'!F8+'[4]9)资产处置预算表'!F8+'[5]9)资产处置预算表'!F8</f>
        <v>125120</v>
      </c>
      <c r="G8" s="137">
        <f>'[3]9)资产处置预算表'!G8+'[4]9)资产处置预算表'!G8+'[5]9)资产处置预算表'!G8</f>
        <v>6256</v>
      </c>
      <c r="H8" s="11">
        <f t="shared" si="1"/>
        <v>5100</v>
      </c>
      <c r="I8" s="21">
        <f>'[3]9)资产处置预算表'!I8+'[4]9)资产处置预算表'!I8+'[5]9)资产处置预算表'!I8</f>
        <v>0</v>
      </c>
      <c r="J8" s="21">
        <f>'[3]9)资产处置预算表'!J8+'[4]9)资产处置预算表'!J8+'[5]9)资产处置预算表'!J8</f>
        <v>5100</v>
      </c>
      <c r="K8" s="21">
        <f>'[3]9)资产处置预算表'!K8+'[4]9)资产处置预算表'!K8+'[5]9)资产处置预算表'!K8</f>
        <v>0</v>
      </c>
      <c r="L8" s="21">
        <f>'[3]9)资产处置预算表'!L8+'[4]9)资产处置预算表'!L8+'[5]9)资产处置预算表'!L8</f>
        <v>0</v>
      </c>
      <c r="M8" s="5"/>
    </row>
    <row r="9" spans="1:13" ht="18" customHeight="1">
      <c r="A9" s="9" t="s">
        <v>534</v>
      </c>
      <c r="B9" s="5" t="s">
        <v>562</v>
      </c>
      <c r="C9" s="16">
        <f>'[3]9)资产处置预算表'!C9+'[4]9)资产处置预算表'!C9+'[5]9)资产处置预算表'!C9</f>
        <v>0</v>
      </c>
      <c r="D9" s="16">
        <f>'[3]9)资产处置预算表'!D9+'[4]9)资产处置预算表'!D9+'[5]9)资产处置预算表'!D9</f>
        <v>0</v>
      </c>
      <c r="E9" s="16">
        <f>'[3]9)资产处置预算表'!E9+'[4]9)资产处置预算表'!E9+'[5]9)资产处置预算表'!E9</f>
        <v>0</v>
      </c>
      <c r="F9" s="137">
        <f>'[3]9)资产处置预算表'!F9+'[4]9)资产处置预算表'!F9+'[5]9)资产处置预算表'!F9</f>
        <v>0</v>
      </c>
      <c r="G9" s="137">
        <f>'[3]9)资产处置预算表'!G9+'[4]9)资产处置预算表'!G9+'[5]9)资产处置预算表'!G9</f>
        <v>0</v>
      </c>
      <c r="H9" s="11">
        <f t="shared" si="1"/>
        <v>0</v>
      </c>
      <c r="I9" s="21">
        <f>'[3]9)资产处置预算表'!I9+'[4]9)资产处置预算表'!I9+'[5]9)资产处置预算表'!I9</f>
        <v>0</v>
      </c>
      <c r="J9" s="21">
        <f>'[3]9)资产处置预算表'!J9+'[4]9)资产处置预算表'!J9+'[5]9)资产处置预算表'!J9</f>
        <v>0</v>
      </c>
      <c r="K9" s="21">
        <f>'[3]9)资产处置预算表'!K9+'[4]9)资产处置预算表'!K9+'[5]9)资产处置预算表'!K9</f>
        <v>0</v>
      </c>
      <c r="L9" s="21">
        <f>'[3]9)资产处置预算表'!L9+'[4]9)资产处置预算表'!L9+'[5]9)资产处置预算表'!L9</f>
        <v>0</v>
      </c>
      <c r="M9" s="5"/>
    </row>
    <row r="10" spans="1:13" ht="18" customHeight="1">
      <c r="A10" s="9" t="s">
        <v>535</v>
      </c>
      <c r="B10" s="5" t="s">
        <v>563</v>
      </c>
      <c r="C10" s="16">
        <f>'[3]9)资产处置预算表'!C10+'[4]9)资产处置预算表'!C10+'[5]9)资产处置预算表'!C10</f>
        <v>0</v>
      </c>
      <c r="D10" s="16">
        <f>'[3]9)资产处置预算表'!D10+'[4]9)资产处置预算表'!D10+'[5]9)资产处置预算表'!D10</f>
        <v>0</v>
      </c>
      <c r="E10" s="16">
        <f>'[3]9)资产处置预算表'!E10+'[4]9)资产处置预算表'!E10+'[5]9)资产处置预算表'!E10</f>
        <v>0</v>
      </c>
      <c r="F10" s="137">
        <f>'[3]9)资产处置预算表'!F10+'[4]9)资产处置预算表'!F10+'[5]9)资产处置预算表'!F10</f>
        <v>0</v>
      </c>
      <c r="G10" s="137">
        <f>'[3]9)资产处置预算表'!G10+'[4]9)资产处置预算表'!G10+'[5]9)资产处置预算表'!G10</f>
        <v>0</v>
      </c>
      <c r="H10" s="11">
        <f t="shared" si="1"/>
        <v>0</v>
      </c>
      <c r="I10" s="21">
        <f>'[3]9)资产处置预算表'!I10+'[4]9)资产处置预算表'!I10+'[5]9)资产处置预算表'!I10</f>
        <v>0</v>
      </c>
      <c r="J10" s="21">
        <f>'[3]9)资产处置预算表'!J10+'[4]9)资产处置预算表'!J10+'[5]9)资产处置预算表'!J10</f>
        <v>0</v>
      </c>
      <c r="K10" s="21">
        <f>'[3]9)资产处置预算表'!K10+'[4]9)资产处置预算表'!K10+'[5]9)资产处置预算表'!K10</f>
        <v>0</v>
      </c>
      <c r="L10" s="21">
        <f>'[3]9)资产处置预算表'!L10+'[4]9)资产处置预算表'!L10+'[5]9)资产处置预算表'!L10</f>
        <v>0</v>
      </c>
      <c r="M10" s="5"/>
    </row>
    <row r="11" spans="1:13" ht="18" customHeight="1">
      <c r="A11" s="9" t="s">
        <v>536</v>
      </c>
      <c r="B11" s="5" t="s">
        <v>564</v>
      </c>
      <c r="C11" s="16">
        <f>'[3]9)资产处置预算表'!C11+'[4]9)资产处置预算表'!C11+'[5]9)资产处置预算表'!C11</f>
        <v>0</v>
      </c>
      <c r="D11" s="16">
        <f>'[3]9)资产处置预算表'!D11+'[4]9)资产处置预算表'!D11+'[5]9)资产处置预算表'!D11</f>
        <v>0</v>
      </c>
      <c r="E11" s="16">
        <f>'[3]9)资产处置预算表'!E11+'[4]9)资产处置预算表'!E11+'[5]9)资产处置预算表'!E11</f>
        <v>0</v>
      </c>
      <c r="F11" s="137">
        <f>'[3]9)资产处置预算表'!F11+'[4]9)资产处置预算表'!F11+'[5]9)资产处置预算表'!F11</f>
        <v>0</v>
      </c>
      <c r="G11" s="137">
        <f>'[3]9)资产处置预算表'!G11+'[4]9)资产处置预算表'!G11+'[5]9)资产处置预算表'!G11</f>
        <v>0</v>
      </c>
      <c r="H11" s="11">
        <f t="shared" si="1"/>
        <v>0</v>
      </c>
      <c r="I11" s="21">
        <f>'[3]9)资产处置预算表'!I11+'[4]9)资产处置预算表'!I11+'[5]9)资产处置预算表'!I11</f>
        <v>0</v>
      </c>
      <c r="J11" s="21">
        <f>'[3]9)资产处置预算表'!J11+'[4]9)资产处置预算表'!J11+'[5]9)资产处置预算表'!J11</f>
        <v>0</v>
      </c>
      <c r="K11" s="21">
        <f>'[3]9)资产处置预算表'!K11+'[4]9)资产处置预算表'!K11+'[5]9)资产处置预算表'!K11</f>
        <v>0</v>
      </c>
      <c r="L11" s="21">
        <f>'[3]9)资产处置预算表'!L11+'[4]9)资产处置预算表'!L11+'[5]9)资产处置预算表'!L11</f>
        <v>0</v>
      </c>
      <c r="M11" s="5"/>
    </row>
    <row r="12" spans="1:13" ht="18" customHeight="1">
      <c r="A12" s="5"/>
      <c r="B12" s="16"/>
      <c r="C12" s="4" t="s">
        <v>340</v>
      </c>
      <c r="D12" s="5"/>
      <c r="E12" s="16"/>
      <c r="F12" s="16"/>
      <c r="G12" s="16"/>
      <c r="H12" s="16"/>
      <c r="I12" s="4" t="s">
        <v>380</v>
      </c>
      <c r="J12" s="5"/>
      <c r="K12" s="5"/>
      <c r="L12" s="5"/>
      <c r="M12" s="5"/>
    </row>
    <row r="13" spans="1:13" ht="18" customHeight="1">
      <c r="A13" s="5" t="s">
        <v>457</v>
      </c>
      <c r="B13" s="5" t="s">
        <v>565</v>
      </c>
      <c r="C13" s="5" t="s">
        <v>565</v>
      </c>
      <c r="D13" s="5" t="s">
        <v>565</v>
      </c>
      <c r="E13" s="5" t="s">
        <v>565</v>
      </c>
      <c r="F13" s="5" t="s">
        <v>565</v>
      </c>
      <c r="G13" s="5" t="s">
        <v>565</v>
      </c>
      <c r="H13" s="5" t="s">
        <v>565</v>
      </c>
      <c r="I13" s="5" t="s">
        <v>565</v>
      </c>
      <c r="J13" s="5" t="s">
        <v>565</v>
      </c>
      <c r="K13" s="5" t="s">
        <v>565</v>
      </c>
      <c r="L13" s="5" t="s">
        <v>565</v>
      </c>
      <c r="M13" s="5" t="s">
        <v>565</v>
      </c>
    </row>
    <row r="14" spans="1:13" ht="18" customHeight="1">
      <c r="A14" s="5"/>
      <c r="B14" s="5" t="s">
        <v>566</v>
      </c>
      <c r="C14" s="5" t="s">
        <v>566</v>
      </c>
      <c r="D14" s="5" t="s">
        <v>566</v>
      </c>
      <c r="E14" s="5" t="s">
        <v>566</v>
      </c>
      <c r="F14" s="5" t="s">
        <v>566</v>
      </c>
      <c r="G14" s="5" t="s">
        <v>566</v>
      </c>
      <c r="H14" s="5" t="s">
        <v>566</v>
      </c>
      <c r="I14" s="5" t="s">
        <v>566</v>
      </c>
      <c r="J14" s="5" t="s">
        <v>566</v>
      </c>
      <c r="K14" s="5" t="s">
        <v>566</v>
      </c>
      <c r="L14" s="5" t="s">
        <v>566</v>
      </c>
      <c r="M14" s="5" t="s">
        <v>566</v>
      </c>
    </row>
    <row r="15" spans="1:13" ht="18" customHeight="1">
      <c r="A15" s="5"/>
      <c r="B15" s="5" t="s">
        <v>567</v>
      </c>
      <c r="C15" s="5" t="s">
        <v>567</v>
      </c>
      <c r="D15" s="5" t="s">
        <v>567</v>
      </c>
      <c r="E15" s="5" t="s">
        <v>567</v>
      </c>
      <c r="F15" s="5" t="s">
        <v>567</v>
      </c>
      <c r="G15" s="5" t="s">
        <v>567</v>
      </c>
      <c r="H15" s="5" t="s">
        <v>567</v>
      </c>
      <c r="I15" s="5" t="s">
        <v>567</v>
      </c>
      <c r="J15" s="5" t="s">
        <v>567</v>
      </c>
      <c r="K15" s="5" t="s">
        <v>567</v>
      </c>
      <c r="L15" s="5" t="s">
        <v>567</v>
      </c>
      <c r="M15" s="5" t="s">
        <v>567</v>
      </c>
    </row>
    <row r="16" spans="1:13" ht="18" customHeight="1">
      <c r="A16" s="5"/>
      <c r="B16" s="5" t="s">
        <v>568</v>
      </c>
      <c r="C16" s="5" t="s">
        <v>568</v>
      </c>
      <c r="D16" s="5" t="s">
        <v>568</v>
      </c>
      <c r="E16" s="5" t="s">
        <v>568</v>
      </c>
      <c r="F16" s="5" t="s">
        <v>568</v>
      </c>
      <c r="G16" s="5" t="s">
        <v>568</v>
      </c>
      <c r="H16" s="5" t="s">
        <v>568</v>
      </c>
      <c r="I16" s="5" t="s">
        <v>568</v>
      </c>
      <c r="J16" s="5" t="s">
        <v>568</v>
      </c>
      <c r="K16" s="5" t="s">
        <v>568</v>
      </c>
      <c r="L16" s="5" t="s">
        <v>568</v>
      </c>
      <c r="M16" s="5" t="s">
        <v>568</v>
      </c>
    </row>
    <row r="17" spans="1:13" ht="18.75" customHeight="1">
      <c r="A17" s="5" t="s">
        <v>503</v>
      </c>
      <c r="B17" s="2"/>
      <c r="C17" s="2"/>
      <c r="D17" s="2"/>
      <c r="E17" s="2"/>
      <c r="F17" s="2"/>
      <c r="G17" s="2"/>
      <c r="H17" s="2"/>
      <c r="I17" s="2"/>
      <c r="J17" s="2"/>
      <c r="K17" s="2"/>
      <c r="L17" s="2"/>
      <c r="M17" s="2"/>
    </row>
    <row r="18" spans="1:13" ht="18" customHeight="1">
      <c r="A18" s="5"/>
      <c r="B18" s="2"/>
      <c r="C18" s="2"/>
      <c r="D18" s="2"/>
      <c r="E18" s="2"/>
      <c r="F18" s="2"/>
      <c r="G18" s="2"/>
      <c r="H18" s="2"/>
      <c r="I18" s="2"/>
      <c r="J18" s="2"/>
      <c r="K18" s="2"/>
      <c r="L18" s="2"/>
      <c r="M18" s="2"/>
    </row>
    <row r="19" spans="1:13" ht="18" customHeight="1">
      <c r="A19" s="5"/>
      <c r="B19" s="2"/>
      <c r="C19" s="2"/>
      <c r="D19" s="2"/>
      <c r="E19" s="2"/>
      <c r="F19" s="2"/>
      <c r="G19" s="2"/>
      <c r="H19" s="2"/>
      <c r="I19" s="2"/>
      <c r="J19" s="2"/>
      <c r="K19" s="2"/>
      <c r="L19" s="2"/>
      <c r="M19" s="2"/>
    </row>
    <row r="20" spans="1:13" ht="18" customHeight="1">
      <c r="A20" s="5"/>
      <c r="B20" s="2"/>
      <c r="C20" s="2"/>
      <c r="D20" s="2"/>
      <c r="E20" s="2"/>
      <c r="F20" s="2"/>
      <c r="G20" s="2"/>
      <c r="H20" s="2"/>
      <c r="I20" s="2"/>
      <c r="J20" s="2"/>
      <c r="K20" s="2"/>
      <c r="L20" s="2"/>
      <c r="M20" s="2"/>
    </row>
    <row r="21" spans="1:13" ht="18" customHeight="1">
      <c r="A21" s="5"/>
      <c r="B21" s="5"/>
      <c r="C21" s="5"/>
      <c r="D21" s="5"/>
      <c r="E21" s="5"/>
      <c r="F21" s="5"/>
      <c r="G21" s="5"/>
      <c r="H21" s="5"/>
      <c r="I21" s="5"/>
      <c r="J21" s="5"/>
      <c r="K21" s="5"/>
      <c r="L21" s="5"/>
      <c r="M21" s="5"/>
    </row>
  </sheetData>
  <sheetProtection/>
  <mergeCells count="18">
    <mergeCell ref="B1:M1"/>
    <mergeCell ref="H3:L3"/>
    <mergeCell ref="B13:M13"/>
    <mergeCell ref="B14:M14"/>
    <mergeCell ref="B15:M15"/>
    <mergeCell ref="B16:M16"/>
    <mergeCell ref="B17:M17"/>
    <mergeCell ref="B18:M18"/>
    <mergeCell ref="B19:M19"/>
    <mergeCell ref="B20:M20"/>
    <mergeCell ref="B21:M21"/>
    <mergeCell ref="A3:A5"/>
    <mergeCell ref="B3:B4"/>
    <mergeCell ref="C3:C4"/>
    <mergeCell ref="D3:D4"/>
    <mergeCell ref="E3:E4"/>
    <mergeCell ref="F3:F4"/>
    <mergeCell ref="G3:G4"/>
  </mergeCells>
  <printOptions/>
  <pageMargins left="0.75" right="0.75" top="1" bottom="1" header="0.5" footer="0.5"/>
  <pageSetup fitToHeight="1" fitToWidth="1" horizontalDpi="300" verticalDpi="300" orientation="landscape" paperSize="9"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海口市三江农场发展控股有限公司</cp:lastModifiedBy>
  <cp:lastPrinted>2020-02-27T10:50:00Z</cp:lastPrinted>
  <dcterms:created xsi:type="dcterms:W3CDTF">2020-06-17T03:44:56Z</dcterms:created>
  <dcterms:modified xsi:type="dcterms:W3CDTF">2023-03-30T01:33:30Z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2052-11.8.6.11719</vt:lpwstr>
  </property>
  <property fmtid="{D5CDD505-2E9C-101B-9397-08002B2CF9AE}" pid="4" name="I">
    <vt:lpwstr>FBA8CD9B27EF4BE5AE3588593F198151</vt:lpwstr>
  </property>
  <property fmtid="{D5CDD505-2E9C-101B-9397-08002B2CF9AE}" pid="5" name="KSOReadingLayo">
    <vt:bool>false</vt:bool>
  </property>
</Properties>
</file>